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476" windowWidth="11112" windowHeight="4752" firstSheet="6" activeTab="8"/>
  </bookViews>
  <sheets>
    <sheet name="SWR Xmtr" sheetId="1" r:id="rId1"/>
    <sheet name="SWR Ant" sheetId="2" r:id="rId2"/>
    <sheet name="Reactance Xmtr" sheetId="3" r:id="rId3"/>
    <sheet name="Reactance Ant" sheetId="4" r:id="rId4"/>
    <sheet name="Impedance Xmtr" sheetId="5" r:id="rId5"/>
    <sheet name="Impedance Ant" sheetId="6" r:id="rId6"/>
    <sheet name="Impedance at Load Calculator" sheetId="7" r:id="rId7"/>
    <sheet name="Impedance Calculator" sheetId="8" r:id="rId8"/>
    <sheet name="Transmission Lines" sheetId="9" r:id="rId9"/>
    <sheet name="Resistance Calibration" sheetId="10" r:id="rId10"/>
  </sheets>
  <definedNames/>
  <calcPr fullCalcOnLoad="1"/>
</workbook>
</file>

<file path=xl/sharedStrings.xml><?xml version="1.0" encoding="utf-8"?>
<sst xmlns="http://schemas.openxmlformats.org/spreadsheetml/2006/main" count="243" uniqueCount="126">
  <si>
    <t>xy</t>
  </si>
  <si>
    <t>∑</t>
  </si>
  <si>
    <t>n</t>
  </si>
  <si>
    <t>Slope</t>
  </si>
  <si>
    <t>Intercept</t>
  </si>
  <si>
    <t>Resistor</t>
  </si>
  <si>
    <t>R(Dial)=x</t>
  </si>
  <si>
    <t>R(ohms)=y</t>
  </si>
  <si>
    <t>Covariance[x,y]</t>
  </si>
  <si>
    <t>Variance[x]</t>
  </si>
  <si>
    <t>Variance[y]</t>
  </si>
  <si>
    <t>For calibration of noise bridge resistance dial</t>
  </si>
  <si>
    <t>Slope=b</t>
  </si>
  <si>
    <t>Intercept=a</t>
  </si>
  <si>
    <t>Ohms</t>
  </si>
  <si>
    <t>Enter-&gt;</t>
  </si>
  <si>
    <t>Dial</t>
  </si>
  <si>
    <t>Calculated</t>
  </si>
  <si>
    <t>Conversions</t>
  </si>
  <si>
    <t>Linear regression</t>
  </si>
  <si>
    <t>Convert alpha dial readings to numeric scale</t>
  </si>
  <si>
    <t>Dial to ohms</t>
  </si>
  <si>
    <t>Ohms to Dial</t>
  </si>
  <si>
    <t>Ohms = Dial x Slope + Intercept</t>
  </si>
  <si>
    <t>Dial = (Ohms - Intercept)/Slope</t>
  </si>
  <si>
    <t>Freq</t>
  </si>
  <si>
    <t>A swr</t>
  </si>
  <si>
    <t>B swr</t>
  </si>
  <si>
    <t>Expander off</t>
  </si>
  <si>
    <t>Expander on</t>
  </si>
  <si>
    <t>Expander resistor</t>
  </si>
  <si>
    <t>SWR reference Z</t>
  </si>
  <si>
    <t>R</t>
  </si>
  <si>
    <t>X</t>
  </si>
  <si>
    <t>Z</t>
  </si>
  <si>
    <t>SWR</t>
  </si>
  <si>
    <t>ohms</t>
  </si>
  <si>
    <t>Range</t>
  </si>
  <si>
    <t>Expander</t>
  </si>
  <si>
    <t>Off(0) On(1)</t>
  </si>
  <si>
    <t>Impedance ohms</t>
  </si>
  <si>
    <t>(MHz)</t>
  </si>
  <si>
    <t>Intermediate Calculations</t>
  </si>
  <si>
    <t>Enter user data in white cells</t>
  </si>
  <si>
    <t>Yellow cells are protected data</t>
  </si>
  <si>
    <t>Enter user data for measured resistors in white cells:</t>
  </si>
  <si>
    <t>Instructions</t>
  </si>
  <si>
    <t>Delete the contents of unused cells (no zeros)</t>
  </si>
  <si>
    <t>Linear regression for noise bridge calibration</t>
  </si>
  <si>
    <r>
      <t>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=(+)</t>
    </r>
  </si>
  <si>
    <r>
      <t>X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=(-)</t>
    </r>
  </si>
  <si>
    <r>
      <t>R</t>
    </r>
    <r>
      <rPr>
        <b/>
        <vertAlign val="subscript"/>
        <sz val="10"/>
        <rFont val="Arial"/>
        <family val="2"/>
      </rPr>
      <t>(dial)</t>
    </r>
  </si>
  <si>
    <r>
      <t>X</t>
    </r>
    <r>
      <rPr>
        <b/>
        <vertAlign val="subscript"/>
        <sz val="10"/>
        <rFont val="Arial"/>
        <family val="2"/>
      </rPr>
      <t>(dial)</t>
    </r>
  </si>
  <si>
    <t>Corr. Coeff.=r</t>
  </si>
  <si>
    <t>Noise Bridge Impedance Calculator</t>
  </si>
  <si>
    <r>
      <t>x</t>
    </r>
    <r>
      <rPr>
        <b/>
        <vertAlign val="superscript"/>
        <sz val="10"/>
        <rFont val="Arial"/>
        <family val="2"/>
      </rPr>
      <t>2</t>
    </r>
  </si>
  <si>
    <r>
      <t>y</t>
    </r>
    <r>
      <rPr>
        <b/>
        <vertAlign val="superscript"/>
        <sz val="10"/>
        <rFont val="Arial"/>
        <family val="2"/>
      </rPr>
      <t>2</t>
    </r>
  </si>
  <si>
    <r>
      <t>r</t>
    </r>
    <r>
      <rPr>
        <b/>
        <vertAlign val="superscript"/>
        <sz val="10"/>
        <rFont val="Arial"/>
        <family val="2"/>
      </rPr>
      <t>2</t>
    </r>
  </si>
  <si>
    <r>
      <t>Transmission Line Z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Calculator</t>
    </r>
  </si>
  <si>
    <r>
      <t>Z</t>
    </r>
    <r>
      <rPr>
        <b/>
        <vertAlign val="subscript"/>
        <sz val="10"/>
        <rFont val="Arial"/>
        <family val="2"/>
      </rPr>
      <t>0</t>
    </r>
  </si>
  <si>
    <t>Transmission Line Velocity Factor Calculator</t>
  </si>
  <si>
    <t>λ/4 line length</t>
  </si>
  <si>
    <t>inches</t>
  </si>
  <si>
    <t>meters</t>
  </si>
  <si>
    <t>Open</t>
  </si>
  <si>
    <t>Closed</t>
  </si>
  <si>
    <t>Velocity</t>
  </si>
  <si>
    <t>Dielectric</t>
  </si>
  <si>
    <t>constant</t>
  </si>
  <si>
    <t>factor</t>
  </si>
  <si>
    <t>Mean</t>
  </si>
  <si>
    <t>MHz</t>
  </si>
  <si>
    <t>AWG</t>
  </si>
  <si>
    <r>
      <t>Mean Z</t>
    </r>
    <r>
      <rPr>
        <b/>
        <vertAlign val="subscript"/>
        <sz val="10"/>
        <rFont val="Arial"/>
        <family val="2"/>
      </rPr>
      <t>0</t>
    </r>
  </si>
  <si>
    <t>Calc. D (mm)</t>
  </si>
  <si>
    <t>Calc. r (mm)</t>
  </si>
  <si>
    <t>End</t>
  </si>
  <si>
    <t>Circuit</t>
  </si>
  <si>
    <t>circuit</t>
  </si>
  <si>
    <t xml:space="preserve"> dial readings in B3-B9, resistor values in C3-C9</t>
  </si>
  <si>
    <t>dB/100'</t>
  </si>
  <si>
    <t>Length</t>
  </si>
  <si>
    <t>feet</t>
  </si>
  <si>
    <t>@ X=0</t>
  </si>
  <si>
    <t>For parallel line only</t>
  </si>
  <si>
    <t>→</t>
  </si>
  <si>
    <t>Color cells are protected data</t>
  </si>
  <si>
    <t>Calc. Physical cable length</t>
  </si>
  <si>
    <r>
      <t>Z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=(276*√k)*log(D/r)</t>
    </r>
  </si>
  <si>
    <t>Source reference Z</t>
  </si>
  <si>
    <t>Velocity factor</t>
  </si>
  <si>
    <t>m</t>
  </si>
  <si>
    <t>Line length</t>
  </si>
  <si>
    <t>Degrees</t>
  </si>
  <si>
    <t>Rad(L)</t>
  </si>
  <si>
    <t>R num</t>
  </si>
  <si>
    <t>R/X den</t>
  </si>
  <si>
    <t>X num</t>
  </si>
  <si>
    <t>Calculated source</t>
  </si>
  <si>
    <t>Calculated load</t>
  </si>
  <si>
    <t>Load</t>
  </si>
  <si>
    <t>Intermediate Calculations (Load)</t>
  </si>
  <si>
    <t>Intermediate Calculations (Source)</t>
  </si>
  <si>
    <t>Line</t>
  </si>
  <si>
    <t>in λ</t>
  </si>
  <si>
    <t>Calc.</t>
  </si>
  <si>
    <t>Factor</t>
  </si>
  <si>
    <t>(Out of Range)</t>
  </si>
  <si>
    <t>Source</t>
  </si>
  <si>
    <r>
      <t>Load reference Z</t>
    </r>
    <r>
      <rPr>
        <b/>
        <vertAlign val="subscript"/>
        <sz val="10"/>
        <rFont val="Arial"/>
        <family val="2"/>
      </rPr>
      <t>0</t>
    </r>
  </si>
  <si>
    <r>
      <t>X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&gt;150</t>
    </r>
  </si>
  <si>
    <t>Noise Bridge Impedance at Load Calculator</t>
  </si>
  <si>
    <t>Transmission Line Attenuation vs. Frequency</t>
  </si>
  <si>
    <t>Attenuation</t>
  </si>
  <si>
    <t>Transmission Line Attenuation and Physical Length Calculator</t>
  </si>
  <si>
    <t>from calibration</t>
  </si>
  <si>
    <t>worksheet</t>
  </si>
  <si>
    <t>Transmission line characteristic calculations</t>
  </si>
  <si>
    <t>Load impedance calculations</t>
  </si>
  <si>
    <t>assume lossless line</t>
  </si>
  <si>
    <r>
      <t>constant velocity factor and Z</t>
    </r>
    <r>
      <rPr>
        <b/>
        <vertAlign val="subscript"/>
        <sz val="10"/>
        <rFont val="Arial"/>
        <family val="2"/>
      </rPr>
      <t>0</t>
    </r>
  </si>
  <si>
    <r>
      <t>P</t>
    </r>
    <r>
      <rPr>
        <b/>
        <vertAlign val="subscript"/>
        <sz val="10"/>
        <rFont val="Arial"/>
        <family val="2"/>
      </rPr>
      <t>nom</t>
    </r>
    <r>
      <rPr>
        <b/>
        <sz val="10"/>
        <rFont val="Arial"/>
        <family val="2"/>
      </rPr>
      <t xml:space="preserve"> (W)</t>
    </r>
  </si>
  <si>
    <t>TL attn (dB)</t>
  </si>
  <si>
    <t>Rad. Eff. (%)</t>
  </si>
  <si>
    <t>Total ERP (W)</t>
  </si>
  <si>
    <t>Estimated WSPR Total Effective Radiated Power : Total ERP(W) = P(W) × 10-(attn(dB)/10) × Rad. Eff.(%)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</si>
</sst>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13" xfId="0" applyNumberFormat="1" applyFont="1" applyFill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2" fontId="1" fillId="2" borderId="14" xfId="0" applyNumberFormat="1" applyFont="1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2" fontId="1" fillId="2" borderId="11" xfId="0" applyNumberFormat="1" applyFont="1" applyFill="1" applyBorder="1" applyAlignment="1">
      <alignment/>
    </xf>
    <xf numFmtId="2" fontId="1" fillId="2" borderId="16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0" borderId="29" xfId="0" applyFont="1" applyFill="1" applyBorder="1" applyAlignment="1" applyProtection="1">
      <alignment/>
      <protection locked="0"/>
    </xf>
    <xf numFmtId="166" fontId="1" fillId="2" borderId="3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2" borderId="3" xfId="0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1" fillId="2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/>
    </xf>
    <xf numFmtId="2" fontId="1" fillId="2" borderId="33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14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2" fontId="1" fillId="2" borderId="2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37" xfId="0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/>
    </xf>
    <xf numFmtId="2" fontId="1" fillId="3" borderId="40" xfId="0" applyNumberFormat="1" applyFont="1" applyFill="1" applyBorder="1" applyAlignment="1">
      <alignment/>
    </xf>
    <xf numFmtId="2" fontId="1" fillId="3" borderId="41" xfId="0" applyNumberFormat="1" applyFont="1" applyFill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2" fontId="1" fillId="2" borderId="42" xfId="0" applyNumberFormat="1" applyFont="1" applyFill="1" applyBorder="1" applyAlignment="1">
      <alignment/>
    </xf>
    <xf numFmtId="0" fontId="1" fillId="2" borderId="43" xfId="0" applyFont="1" applyFill="1" applyBorder="1" applyAlignment="1">
      <alignment/>
    </xf>
    <xf numFmtId="2" fontId="1" fillId="2" borderId="42" xfId="0" applyNumberFormat="1" applyFont="1" applyFill="1" applyBorder="1" applyAlignment="1">
      <alignment horizontal="right"/>
    </xf>
    <xf numFmtId="0" fontId="1" fillId="2" borderId="44" xfId="0" applyFont="1" applyFill="1" applyBorder="1" applyAlignment="1">
      <alignment horizontal="left"/>
    </xf>
    <xf numFmtId="166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/>
    </xf>
    <xf numFmtId="166" fontId="1" fillId="2" borderId="16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2" fontId="1" fillId="2" borderId="32" xfId="0" applyNumberFormat="1" applyFont="1" applyFill="1" applyBorder="1" applyAlignment="1">
      <alignment horizontal="center"/>
    </xf>
    <xf numFmtId="2" fontId="1" fillId="2" borderId="45" xfId="0" applyNumberFormat="1" applyFont="1" applyFill="1" applyBorder="1" applyAlignment="1">
      <alignment horizontal="center"/>
    </xf>
    <xf numFmtId="2" fontId="1" fillId="2" borderId="46" xfId="0" applyNumberFormat="1" applyFont="1" applyFill="1" applyBorder="1" applyAlignment="1">
      <alignment horizontal="center"/>
    </xf>
    <xf numFmtId="166" fontId="1" fillId="2" borderId="41" xfId="0" applyNumberFormat="1" applyFont="1" applyFill="1" applyBorder="1" applyAlignment="1">
      <alignment/>
    </xf>
    <xf numFmtId="166" fontId="1" fillId="2" borderId="47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6" xfId="0" applyFont="1" applyBorder="1" applyAlignment="1" applyProtection="1">
      <alignment/>
      <protection locked="0"/>
    </xf>
    <xf numFmtId="169" fontId="0" fillId="0" borderId="13" xfId="0" applyNumberFormat="1" applyFont="1" applyBorder="1" applyAlignment="1" applyProtection="1">
      <alignment horizontal="center"/>
      <protection locked="0"/>
    </xf>
    <xf numFmtId="2" fontId="0" fillId="2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26" xfId="0" applyNumberFormat="1" applyFont="1" applyFill="1" applyBorder="1" applyAlignment="1">
      <alignment/>
    </xf>
    <xf numFmtId="2" fontId="0" fillId="3" borderId="13" xfId="0" applyNumberFormat="1" applyFont="1" applyFill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7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169" fontId="0" fillId="0" borderId="14" xfId="0" applyNumberFormat="1" applyFont="1" applyBorder="1" applyAlignment="1" applyProtection="1">
      <alignment horizontal="center"/>
      <protection locked="0"/>
    </xf>
    <xf numFmtId="2" fontId="0" fillId="2" borderId="7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2" fontId="0" fillId="3" borderId="14" xfId="0" applyNumberFormat="1" applyFont="1" applyFill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9" fontId="0" fillId="0" borderId="16" xfId="0" applyNumberFormat="1" applyFont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2" fontId="0" fillId="3" borderId="16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9" fontId="0" fillId="0" borderId="26" xfId="0" applyNumberFormat="1" applyFont="1" applyBorder="1" applyAlignment="1" applyProtection="1">
      <alignment horizontal="center"/>
      <protection locked="0"/>
    </xf>
    <xf numFmtId="169" fontId="0" fillId="0" borderId="6" xfId="0" applyNumberFormat="1" applyFont="1" applyBorder="1" applyAlignment="1" applyProtection="1">
      <alignment horizontal="center"/>
      <protection locked="0"/>
    </xf>
    <xf numFmtId="169" fontId="0" fillId="0" borderId="11" xfId="0" applyNumberFormat="1" applyFont="1" applyBorder="1" applyAlignment="1" applyProtection="1">
      <alignment horizontal="center"/>
      <protection locked="0"/>
    </xf>
    <xf numFmtId="169" fontId="0" fillId="0" borderId="0" xfId="0" applyNumberFormat="1" applyFont="1" applyAlignment="1">
      <alignment/>
    </xf>
    <xf numFmtId="0" fontId="1" fillId="2" borderId="38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40" xfId="0" applyNumberFormat="1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2" borderId="41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2" fontId="1" fillId="3" borderId="32" xfId="0" applyNumberFormat="1" applyFont="1" applyFill="1" applyBorder="1" applyAlignment="1">
      <alignment horizontal="center"/>
    </xf>
    <xf numFmtId="2" fontId="1" fillId="3" borderId="45" xfId="0" applyNumberFormat="1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2" fontId="0" fillId="0" borderId="26" xfId="0" applyNumberFormat="1" applyFont="1" applyBorder="1" applyAlignment="1" applyProtection="1">
      <alignment/>
      <protection locked="0"/>
    </xf>
    <xf numFmtId="2" fontId="0" fillId="0" borderId="29" xfId="0" applyNumberFormat="1" applyFont="1" applyBorder="1" applyAlignment="1" applyProtection="1">
      <alignment/>
      <protection locked="0"/>
    </xf>
    <xf numFmtId="2" fontId="0" fillId="0" borderId="6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1" fontId="0" fillId="2" borderId="6" xfId="0" applyNumberFormat="1" applyFont="1" applyFill="1" applyBorder="1" applyAlignment="1">
      <alignment/>
    </xf>
    <xf numFmtId="0" fontId="0" fillId="0" borderId="33" xfId="0" applyFont="1" applyBorder="1" applyAlignment="1" applyProtection="1">
      <alignment/>
      <protection locked="0"/>
    </xf>
    <xf numFmtId="1" fontId="0" fillId="2" borderId="11" xfId="0" applyNumberFormat="1" applyFont="1" applyFill="1" applyBorder="1" applyAlignment="1">
      <alignment/>
    </xf>
    <xf numFmtId="0" fontId="0" fillId="0" borderId="39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 applyProtection="1">
      <alignment/>
      <protection/>
    </xf>
    <xf numFmtId="2" fontId="1" fillId="2" borderId="29" xfId="0" applyNumberFormat="1" applyFont="1" applyFill="1" applyBorder="1" applyAlignment="1" applyProtection="1">
      <alignment/>
      <protection locked="0"/>
    </xf>
    <xf numFmtId="2" fontId="1" fillId="2" borderId="11" xfId="0" applyNumberFormat="1" applyFont="1" applyFill="1" applyBorder="1" applyAlignment="1" applyProtection="1">
      <alignment/>
      <protection locked="0"/>
    </xf>
    <xf numFmtId="2" fontId="1" fillId="2" borderId="32" xfId="0" applyNumberFormat="1" applyFont="1" applyFill="1" applyBorder="1" applyAlignment="1">
      <alignment/>
    </xf>
    <xf numFmtId="2" fontId="1" fillId="2" borderId="30" xfId="0" applyNumberFormat="1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1" fillId="2" borderId="5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" fontId="1" fillId="2" borderId="7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/>
    </xf>
    <xf numFmtId="1" fontId="1" fillId="2" borderId="14" xfId="0" applyNumberFormat="1" applyFont="1" applyFill="1" applyBorder="1" applyAlignment="1">
      <alignment/>
    </xf>
    <xf numFmtId="166" fontId="1" fillId="2" borderId="7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/>
    </xf>
    <xf numFmtId="170" fontId="1" fillId="2" borderId="7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51" xfId="0" applyNumberFormat="1" applyFont="1" applyFill="1" applyBorder="1" applyAlignment="1">
      <alignment horizontal="center"/>
    </xf>
    <xf numFmtId="2" fontId="1" fillId="2" borderId="49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3" borderId="55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2" fontId="1" fillId="3" borderId="31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2" fontId="1" fillId="2" borderId="56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57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3" borderId="53" xfId="0" applyFont="1" applyFill="1" applyBorder="1" applyAlignment="1">
      <alignment horizontal="left"/>
    </xf>
    <xf numFmtId="0" fontId="1" fillId="3" borderId="48" xfId="0" applyFont="1" applyFill="1" applyBorder="1" applyAlignment="1">
      <alignment horizontal="left"/>
    </xf>
    <xf numFmtId="0" fontId="1" fillId="3" borderId="51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2" fontId="1" fillId="2" borderId="55" xfId="0" applyNumberFormat="1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/>
    </xf>
    <xf numFmtId="2" fontId="1" fillId="2" borderId="61" xfId="0" applyNumberFormat="1" applyFont="1" applyFill="1" applyBorder="1" applyAlignment="1">
      <alignment horizontal="center"/>
    </xf>
    <xf numFmtId="2" fontId="1" fillId="2" borderId="62" xfId="0" applyNumberFormat="1" applyFont="1" applyFill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169" fontId="1" fillId="0" borderId="0" xfId="0" applyNumberFormat="1" applyFont="1" applyBorder="1" applyAlignment="1" applyProtection="1">
      <alignment horizontal="center"/>
      <protection/>
    </xf>
    <xf numFmtId="0" fontId="1" fillId="2" borderId="63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2" borderId="26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0" fontId="1" fillId="0" borderId="6" xfId="0" applyNumberFormat="1" applyFont="1" applyFill="1" applyBorder="1" applyAlignment="1" applyProtection="1">
      <alignment/>
      <protection locked="0"/>
    </xf>
    <xf numFmtId="170" fontId="1" fillId="0" borderId="6" xfId="0" applyNumberFormat="1" applyFont="1" applyFill="1" applyBorder="1" applyAlignment="1" applyProtection="1">
      <alignment/>
      <protection locked="0"/>
    </xf>
    <xf numFmtId="170" fontId="1" fillId="0" borderId="14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 (50) at Source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SWR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Calculator'!$H$5:$H$64</c:f>
              <c:numCache>
                <c:ptCount val="60"/>
                <c:pt idx="0">
                  <c:v>43.82657291581931</c:v>
                </c:pt>
                <c:pt idx="1">
                  <c:v>20.89777204584904</c:v>
                </c:pt>
                <c:pt idx="2">
                  <c:v>3.7819100229941567</c:v>
                </c:pt>
                <c:pt idx="3">
                  <c:v>2.1323906039818676</c:v>
                </c:pt>
                <c:pt idx="4">
                  <c:v>2.5356915160071067</c:v>
                </c:pt>
                <c:pt idx="5">
                  <c:v>2.1323906039818676</c:v>
                </c:pt>
                <c:pt idx="6">
                  <c:v>3.539096441923123</c:v>
                </c:pt>
                <c:pt idx="7">
                  <c:v>4.610264786540806</c:v>
                </c:pt>
                <c:pt idx="8">
                  <c:v>9.183991641897348</c:v>
                </c:pt>
                <c:pt idx="9">
                  <c:v>7.0911402530022425</c:v>
                </c:pt>
                <c:pt idx="10">
                  <c:v>2.7931420867723347</c:v>
                </c:pt>
                <c:pt idx="11">
                  <c:v>1.566825076279848</c:v>
                </c:pt>
                <c:pt idx="12">
                  <c:v>1.2894196879559994</c:v>
                </c:pt>
                <c:pt idx="13">
                  <c:v>1.2510213469416827</c:v>
                </c:pt>
                <c:pt idx="14">
                  <c:v>1.6860537048972868</c:v>
                </c:pt>
                <c:pt idx="15">
                  <c:v>2.5297806973859784</c:v>
                </c:pt>
                <c:pt idx="16">
                  <c:v>2.8949610295513932</c:v>
                </c:pt>
                <c:pt idx="17">
                  <c:v>5.566878735814411</c:v>
                </c:pt>
                <c:pt idx="18">
                  <c:v>15.418986763193063</c:v>
                </c:pt>
                <c:pt idx="19">
                  <c:v>19.66594134463985</c:v>
                </c:pt>
                <c:pt idx="20">
                  <c:v>20.916409310408852</c:v>
                </c:pt>
                <c:pt idx="21">
                  <c:v>8.175864713790347</c:v>
                </c:pt>
                <c:pt idx="22">
                  <c:v>8.132581717694377</c:v>
                </c:pt>
                <c:pt idx="23">
                  <c:v>5.168611994777492</c:v>
                </c:pt>
                <c:pt idx="24">
                  <c:v>3.0139735001532593</c:v>
                </c:pt>
                <c:pt idx="25">
                  <c:v>1.3446032389391043</c:v>
                </c:pt>
                <c:pt idx="26">
                  <c:v>3.0336014989427342</c:v>
                </c:pt>
                <c:pt idx="27">
                  <c:v>3.042225839039174</c:v>
                </c:pt>
                <c:pt idx="28">
                  <c:v>2.9519867412894674</c:v>
                </c:pt>
                <c:pt idx="29">
                  <c:v>2.433077127185373</c:v>
                </c:pt>
                <c:pt idx="30">
                  <c:v>2.000623816971576</c:v>
                </c:pt>
                <c:pt idx="31">
                  <c:v>1.6645875609374186</c:v>
                </c:pt>
                <c:pt idx="32">
                  <c:v>1.4520903504484017</c:v>
                </c:pt>
                <c:pt idx="33">
                  <c:v>1.30225529609462</c:v>
                </c:pt>
                <c:pt idx="34">
                  <c:v>1.1742360041201365</c:v>
                </c:pt>
                <c:pt idx="35">
                  <c:v>1.0365509773773043</c:v>
                </c:pt>
                <c:pt idx="36">
                  <c:v>1.0090107639895627</c:v>
                </c:pt>
                <c:pt idx="37">
                  <c:v>1.830825910831938</c:v>
                </c:pt>
                <c:pt idx="38">
                  <c:v>12.159015183976843</c:v>
                </c:pt>
                <c:pt idx="39">
                  <c:v>15.247150128166279</c:v>
                </c:pt>
                <c:pt idx="40">
                  <c:v>14.955235445037314</c:v>
                </c:pt>
                <c:pt idx="41">
                  <c:v>9.409228661648918</c:v>
                </c:pt>
                <c:pt idx="42">
                  <c:v>3.266385785116026</c:v>
                </c:pt>
                <c:pt idx="43">
                  <c:v>3.945731184497045</c:v>
                </c:pt>
                <c:pt idx="44">
                  <c:v>3.020249995641228</c:v>
                </c:pt>
                <c:pt idx="45">
                  <c:v>1.1828631032730657</c:v>
                </c:pt>
                <c:pt idx="46">
                  <c:v>1.091128654956436</c:v>
                </c:pt>
                <c:pt idx="47">
                  <c:v>1.7535090436976404</c:v>
                </c:pt>
                <c:pt idx="48">
                  <c:v>1.7472342549914248</c:v>
                </c:pt>
                <c:pt idx="49">
                  <c:v>4.854936697224137</c:v>
                </c:pt>
                <c:pt idx="50">
                  <c:v>4.812851787003789</c:v>
                </c:pt>
                <c:pt idx="51">
                  <c:v>5.205862993684567</c:v>
                </c:pt>
                <c:pt idx="52">
                  <c:v>6.06923938363784</c:v>
                </c:pt>
                <c:pt idx="53">
                  <c:v>8.370325243468315</c:v>
                </c:pt>
                <c:pt idx="54">
                  <c:v>7.961185972180338</c:v>
                </c:pt>
                <c:pt idx="55">
                  <c:v>3.023558701791778</c:v>
                </c:pt>
                <c:pt idx="56">
                  <c:v>2.2421637608081912</c:v>
                </c:pt>
                <c:pt idx="57">
                  <c:v>1.3185928853492743</c:v>
                </c:pt>
                <c:pt idx="58">
                  <c:v>1.7920743086828257</c:v>
                </c:pt>
                <c:pt idx="59">
                  <c:v>2.5096347751806283</c:v>
                </c:pt>
              </c:numCache>
            </c:numRef>
          </c:yVal>
          <c:smooth val="0"/>
        </c:ser>
        <c:axId val="27922463"/>
        <c:axId val="49975576"/>
      </c:scatterChart>
      <c:valAx>
        <c:axId val="27922463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9975576"/>
        <c:crossesAt val="1"/>
        <c:crossBetween val="midCat"/>
        <c:dispUnits/>
      </c:valAx>
      <c:valAx>
        <c:axId val="49975576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7922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SWR (114) at Antenna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SWR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Calculator'!$L$5:$L$64</c:f>
              <c:numCache>
                <c:ptCount val="60"/>
                <c:pt idx="0">
                  <c:v>19.256361251343616</c:v>
                </c:pt>
                <c:pt idx="1">
                  <c:v>12.06478433175051</c:v>
                </c:pt>
                <c:pt idx="2">
                  <c:v>4.973628432967844</c:v>
                </c:pt>
                <c:pt idx="3">
                  <c:v>4.88023532024507</c:v>
                </c:pt>
                <c:pt idx="4">
                  <c:v>5.803238522321343</c:v>
                </c:pt>
                <c:pt idx="5">
                  <c:v>4.88023532024507</c:v>
                </c:pt>
                <c:pt idx="6">
                  <c:v>4.87123281068836</c:v>
                </c:pt>
                <c:pt idx="7">
                  <c:v>4.9007556384765945</c:v>
                </c:pt>
                <c:pt idx="8">
                  <c:v>5.164425318888225</c:v>
                </c:pt>
                <c:pt idx="9">
                  <c:v>3.098432730137335</c:v>
                </c:pt>
                <c:pt idx="10">
                  <c:v>1.5523766311185212</c:v>
                </c:pt>
                <c:pt idx="11">
                  <c:v>1.641391671245838</c:v>
                </c:pt>
                <c:pt idx="12">
                  <c:v>1.7749237736053185</c:v>
                </c:pt>
                <c:pt idx="13">
                  <c:v>2.02632126362725</c:v>
                </c:pt>
                <c:pt idx="14">
                  <c:v>2.298363204736747</c:v>
                </c:pt>
                <c:pt idx="15">
                  <c:v>2.787742528052295</c:v>
                </c:pt>
                <c:pt idx="16">
                  <c:v>2.9446304384833897</c:v>
                </c:pt>
                <c:pt idx="17">
                  <c:v>3.7781047323295773</c:v>
                </c:pt>
                <c:pt idx="18">
                  <c:v>7.053597687786401</c:v>
                </c:pt>
                <c:pt idx="19">
                  <c:v>8.690000847844715</c:v>
                </c:pt>
                <c:pt idx="20">
                  <c:v>9.19598735883476</c:v>
                </c:pt>
                <c:pt idx="21">
                  <c:v>3.8402302102961996</c:v>
                </c:pt>
                <c:pt idx="22">
                  <c:v>3.8512466455335534</c:v>
                </c:pt>
                <c:pt idx="23">
                  <c:v>3.5884892084047157</c:v>
                </c:pt>
                <c:pt idx="24">
                  <c:v>3.364068911982892</c:v>
                </c:pt>
                <c:pt idx="25">
                  <c:v>2.3564784986680665</c:v>
                </c:pt>
                <c:pt idx="26">
                  <c:v>1.3732445145862937</c:v>
                </c:pt>
                <c:pt idx="27">
                  <c:v>1.3292829891719695</c:v>
                </c:pt>
                <c:pt idx="28">
                  <c:v>1.3400078269488855</c:v>
                </c:pt>
                <c:pt idx="29">
                  <c:v>1.4741138128270759</c:v>
                </c:pt>
                <c:pt idx="30">
                  <c:v>1.569173460813708</c:v>
                </c:pt>
                <c:pt idx="31">
                  <c:v>1.7881009959342309</c:v>
                </c:pt>
                <c:pt idx="32">
                  <c:v>1.94564639005856</c:v>
                </c:pt>
                <c:pt idx="33">
                  <c:v>2.0377293488646817</c:v>
                </c:pt>
                <c:pt idx="34">
                  <c:v>2.159763315473702</c:v>
                </c:pt>
                <c:pt idx="35">
                  <c:v>2.3098937142803573</c:v>
                </c:pt>
                <c:pt idx="36">
                  <c:v>2.309243887932267</c:v>
                </c:pt>
                <c:pt idx="37">
                  <c:v>2.153196726975779</c:v>
                </c:pt>
                <c:pt idx="38">
                  <c:v>5.316934748016876</c:v>
                </c:pt>
                <c:pt idx="39">
                  <c:v>6.675250551826563</c:v>
                </c:pt>
                <c:pt idx="40">
                  <c:v>6.536200712439809</c:v>
                </c:pt>
                <c:pt idx="41">
                  <c:v>4.262171605988218</c:v>
                </c:pt>
                <c:pt idx="42">
                  <c:v>1.8169958067648213</c:v>
                </c:pt>
                <c:pt idx="43">
                  <c:v>1.977520796984007</c:v>
                </c:pt>
                <c:pt idx="44">
                  <c:v>2.6046481690170875</c:v>
                </c:pt>
                <c:pt idx="45">
                  <c:v>2.324381022896201</c:v>
                </c:pt>
                <c:pt idx="46">
                  <c:v>2.4971806717336165</c:v>
                </c:pt>
                <c:pt idx="47">
                  <c:v>1.9917734101033682</c:v>
                </c:pt>
                <c:pt idx="48">
                  <c:v>1.9876322810908205</c:v>
                </c:pt>
                <c:pt idx="49">
                  <c:v>2.1303492472246726</c:v>
                </c:pt>
                <c:pt idx="50">
                  <c:v>2.1029477587668564</c:v>
                </c:pt>
                <c:pt idx="51">
                  <c:v>2.277550811493356</c:v>
                </c:pt>
                <c:pt idx="52">
                  <c:v>2.6544081892184335</c:v>
                </c:pt>
                <c:pt idx="53">
                  <c:v>3.6573652150338862</c:v>
                </c:pt>
                <c:pt idx="54">
                  <c:v>3.7070548777198726</c:v>
                </c:pt>
                <c:pt idx="55">
                  <c:v>1.98368952455126</c:v>
                </c:pt>
                <c:pt idx="56">
                  <c:v>2.144272981963002</c:v>
                </c:pt>
                <c:pt idx="57">
                  <c:v>1.9732412122333434</c:v>
                </c:pt>
                <c:pt idx="58">
                  <c:v>1.4810196748963431</c:v>
                </c:pt>
                <c:pt idx="59">
                  <c:v>1.136849022189048</c:v>
                </c:pt>
              </c:numCache>
            </c:numRef>
          </c:yVal>
          <c:smooth val="0"/>
        </c:ser>
        <c:axId val="47127001"/>
        <c:axId val="21489826"/>
      </c:scatterChart>
      <c:valAx>
        <c:axId val="471270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1489826"/>
        <c:crossesAt val="1"/>
        <c:crossBetween val="midCat"/>
        <c:dispUnits/>
      </c:valAx>
      <c:valAx>
        <c:axId val="214898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127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Reactance at Source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Reactance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Calculator'!$F$5:$F$64</c:f>
              <c:numCache>
                <c:ptCount val="60"/>
                <c:pt idx="0">
                  <c:v>987.6730327682759</c:v>
                </c:pt>
                <c:pt idx="1">
                  <c:v>-170.03733236313604</c:v>
                </c:pt>
                <c:pt idx="2">
                  <c:v>-47.53731872517782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44.20970641441537</c:v>
                </c:pt>
                <c:pt idx="7">
                  <c:v>63.279996168974506</c:v>
                </c:pt>
                <c:pt idx="8">
                  <c:v>159.88038939428978</c:v>
                </c:pt>
                <c:pt idx="9">
                  <c:v>0</c:v>
                </c:pt>
                <c:pt idx="10">
                  <c:v>-50.38143181129957</c:v>
                </c:pt>
                <c:pt idx="11">
                  <c:v>-16.01800957044035</c:v>
                </c:pt>
                <c:pt idx="12">
                  <c:v>0</c:v>
                </c:pt>
                <c:pt idx="13">
                  <c:v>9.716418992179202</c:v>
                </c:pt>
                <c:pt idx="14">
                  <c:v>27.072692231730173</c:v>
                </c:pt>
                <c:pt idx="15">
                  <c:v>47.873034252897995</c:v>
                </c:pt>
                <c:pt idx="16">
                  <c:v>55.43536854472147</c:v>
                </c:pt>
                <c:pt idx="17">
                  <c:v>105.88971450393389</c:v>
                </c:pt>
                <c:pt idx="18">
                  <c:v>343.32023186778963</c:v>
                </c:pt>
                <c:pt idx="19">
                  <c:v>490.3467124760596</c:v>
                </c:pt>
                <c:pt idx="20">
                  <c:v>508.55224265230976</c:v>
                </c:pt>
                <c:pt idx="21">
                  <c:v>-200.95321097461533</c:v>
                </c:pt>
                <c:pt idx="22">
                  <c:v>-198.96357522239143</c:v>
                </c:pt>
                <c:pt idx="23">
                  <c:v>-100.47660548730765</c:v>
                </c:pt>
                <c:pt idx="24">
                  <c:v>-52.63060287430402</c:v>
                </c:pt>
                <c:pt idx="25">
                  <c:v>14.785854988098786</c:v>
                </c:pt>
                <c:pt idx="26">
                  <c:v>25.910450645811206</c:v>
                </c:pt>
                <c:pt idx="27">
                  <c:v>0</c:v>
                </c:pt>
                <c:pt idx="28">
                  <c:v>-24.607428706676703</c:v>
                </c:pt>
                <c:pt idx="29">
                  <c:v>-40.190642194923065</c:v>
                </c:pt>
                <c:pt idx="30">
                  <c:v>-31.354401712351326</c:v>
                </c:pt>
                <c:pt idx="31">
                  <c:v>-23.948920051145922</c:v>
                </c:pt>
                <c:pt idx="32">
                  <c:v>-17.66621634941673</c:v>
                </c:pt>
                <c:pt idx="33">
                  <c:v>-12.280474004004269</c:v>
                </c:pt>
                <c:pt idx="34">
                  <c:v>-7.622363174899202</c:v>
                </c:pt>
                <c:pt idx="35">
                  <c:v>-1.730321190388077</c:v>
                </c:pt>
                <c:pt idx="36">
                  <c:v>0</c:v>
                </c:pt>
                <c:pt idx="37">
                  <c:v>32.105866560049456</c:v>
                </c:pt>
                <c:pt idx="38">
                  <c:v>95.41684643451303</c:v>
                </c:pt>
                <c:pt idx="39">
                  <c:v>223.3822786483072</c:v>
                </c:pt>
                <c:pt idx="40">
                  <c:v>82.69353670797967</c:v>
                </c:pt>
                <c:pt idx="41">
                  <c:v>-229.89723979817813</c:v>
                </c:pt>
                <c:pt idx="42">
                  <c:v>-69.4723957940813</c:v>
                </c:pt>
                <c:pt idx="43">
                  <c:v>-84.20896459888642</c:v>
                </c:pt>
                <c:pt idx="44">
                  <c:v>-63.156723449164815</c:v>
                </c:pt>
                <c:pt idx="45">
                  <c:v>8.357222384577573</c:v>
                </c:pt>
                <c:pt idx="46">
                  <c:v>0</c:v>
                </c:pt>
                <c:pt idx="47">
                  <c:v>29.23221241570318</c:v>
                </c:pt>
                <c:pt idx="48">
                  <c:v>28.996465146311397</c:v>
                </c:pt>
                <c:pt idx="49">
                  <c:v>-31.628009270779966</c:v>
                </c:pt>
                <c:pt idx="50">
                  <c:v>0</c:v>
                </c:pt>
                <c:pt idx="51">
                  <c:v>20.508660237908344</c:v>
                </c:pt>
                <c:pt idx="52">
                  <c:v>-24.865268545716017</c:v>
                </c:pt>
                <c:pt idx="53">
                  <c:v>0</c:v>
                </c:pt>
                <c:pt idx="54">
                  <c:v>-195.77594721290538</c:v>
                </c:pt>
                <c:pt idx="55">
                  <c:v>-66.98440365820511</c:v>
                </c:pt>
                <c:pt idx="56">
                  <c:v>-44.82090051231051</c:v>
                </c:pt>
                <c:pt idx="57">
                  <c:v>-12.157669263964227</c:v>
                </c:pt>
                <c:pt idx="58">
                  <c:v>20.306997236953315</c:v>
                </c:pt>
                <c:pt idx="59">
                  <c:v>11.820777116153844</c:v>
                </c:pt>
              </c:numCache>
            </c:numRef>
          </c:yVal>
          <c:smooth val="0"/>
        </c:ser>
        <c:axId val="59190707"/>
        <c:axId val="62954316"/>
      </c:scatterChart>
      <c:valAx>
        <c:axId val="591907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2954316"/>
        <c:crossesAt val="-400"/>
        <c:crossBetween val="midCat"/>
        <c:dispUnits/>
      </c:valAx>
      <c:valAx>
        <c:axId val="6295431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90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Reactance at Antenna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Reactance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Calculator'!$J$5:$J$64</c:f>
              <c:numCache>
                <c:ptCount val="60"/>
                <c:pt idx="0">
                  <c:v>-417.37765430501196</c:v>
                </c:pt>
                <c:pt idx="1">
                  <c:v>-36.17683367432414</c:v>
                </c:pt>
                <c:pt idx="2">
                  <c:v>75.1615813450417</c:v>
                </c:pt>
                <c:pt idx="3">
                  <c:v>267.3032082883042</c:v>
                </c:pt>
                <c:pt idx="4">
                  <c:v>225.67085845487352</c:v>
                </c:pt>
                <c:pt idx="5">
                  <c:v>83.74638829513576</c:v>
                </c:pt>
                <c:pt idx="6">
                  <c:v>-170.78143129281906</c:v>
                </c:pt>
                <c:pt idx="7">
                  <c:v>-109.89676046325951</c:v>
                </c:pt>
                <c:pt idx="8">
                  <c:v>-10.050203254293782</c:v>
                </c:pt>
                <c:pt idx="9">
                  <c:v>72.26435664050004</c:v>
                </c:pt>
                <c:pt idx="10">
                  <c:v>23.655326630125657</c:v>
                </c:pt>
                <c:pt idx="11">
                  <c:v>-59.04864526773312</c:v>
                </c:pt>
                <c:pt idx="12">
                  <c:v>-58.549041786167656</c:v>
                </c:pt>
                <c:pt idx="13">
                  <c:v>-57.483101995590424</c:v>
                </c:pt>
                <c:pt idx="14">
                  <c:v>-41.658667764898524</c:v>
                </c:pt>
                <c:pt idx="15">
                  <c:v>-23.383412219321905</c:v>
                </c:pt>
                <c:pt idx="16">
                  <c:v>-16.11150660568082</c:v>
                </c:pt>
                <c:pt idx="17">
                  <c:v>25.055481579159466</c:v>
                </c:pt>
                <c:pt idx="18">
                  <c:v>196.6936875104856</c:v>
                </c:pt>
                <c:pt idx="19">
                  <c:v>423.70139371330794</c:v>
                </c:pt>
                <c:pt idx="20">
                  <c:v>513.6974893113401</c:v>
                </c:pt>
                <c:pt idx="21">
                  <c:v>-143.38487333554744</c:v>
                </c:pt>
                <c:pt idx="22">
                  <c:v>-132.3690448285234</c:v>
                </c:pt>
                <c:pt idx="23">
                  <c:v>-21.251977385743636</c:v>
                </c:pt>
                <c:pt idx="24">
                  <c:v>51.15624217170674</c:v>
                </c:pt>
                <c:pt idx="25">
                  <c:v>63.089511714293295</c:v>
                </c:pt>
                <c:pt idx="26">
                  <c:v>-18.730753454997203</c:v>
                </c:pt>
                <c:pt idx="27">
                  <c:v>-2.027237828512763</c:v>
                </c:pt>
                <c:pt idx="28">
                  <c:v>14.865545591136565</c:v>
                </c:pt>
                <c:pt idx="29">
                  <c:v>44.933436874320954</c:v>
                </c:pt>
                <c:pt idx="30">
                  <c:v>48.38221194719184</c:v>
                </c:pt>
                <c:pt idx="31">
                  <c:v>42.33341997041753</c:v>
                </c:pt>
                <c:pt idx="32">
                  <c:v>17.68584887805538</c:v>
                </c:pt>
                <c:pt idx="33">
                  <c:v>-16.470909838280736</c:v>
                </c:pt>
                <c:pt idx="34">
                  <c:v>-52.920814110203494</c:v>
                </c:pt>
                <c:pt idx="35">
                  <c:v>-91.29765522842249</c:v>
                </c:pt>
                <c:pt idx="36">
                  <c:v>-96.09763986012638</c:v>
                </c:pt>
                <c:pt idx="37">
                  <c:v>-77.71340533582307</c:v>
                </c:pt>
                <c:pt idx="38">
                  <c:v>293.37005226094504</c:v>
                </c:pt>
                <c:pt idx="39">
                  <c:v>368.47180693406784</c:v>
                </c:pt>
                <c:pt idx="40">
                  <c:v>321.79456272129164</c:v>
                </c:pt>
                <c:pt idx="41">
                  <c:v>-196.3686963550918</c:v>
                </c:pt>
                <c:pt idx="42">
                  <c:v>-33.081827541190776</c:v>
                </c:pt>
                <c:pt idx="43">
                  <c:v>-20.876869771272357</c:v>
                </c:pt>
                <c:pt idx="44">
                  <c:v>61.97982434666182</c:v>
                </c:pt>
                <c:pt idx="45">
                  <c:v>-30.23933965724608</c:v>
                </c:pt>
                <c:pt idx="46">
                  <c:v>-74.43417947574287</c:v>
                </c:pt>
                <c:pt idx="47">
                  <c:v>-78.35590555002665</c:v>
                </c:pt>
                <c:pt idx="48">
                  <c:v>-73.58609189991235</c:v>
                </c:pt>
                <c:pt idx="49">
                  <c:v>57.82964839653392</c:v>
                </c:pt>
                <c:pt idx="50">
                  <c:v>68.15933276858114</c:v>
                </c:pt>
                <c:pt idx="51">
                  <c:v>20.508660237907687</c:v>
                </c:pt>
                <c:pt idx="52">
                  <c:v>-84.74481222096429</c:v>
                </c:pt>
                <c:pt idx="53">
                  <c:v>-181.24266632328272</c:v>
                </c:pt>
                <c:pt idx="54">
                  <c:v>-108.54377468147864</c:v>
                </c:pt>
                <c:pt idx="55">
                  <c:v>0.8808250018884981</c:v>
                </c:pt>
                <c:pt idx="56">
                  <c:v>58.955178597430745</c:v>
                </c:pt>
                <c:pt idx="57">
                  <c:v>67.51310866136413</c:v>
                </c:pt>
                <c:pt idx="58">
                  <c:v>-46.003896798043826</c:v>
                </c:pt>
                <c:pt idx="59">
                  <c:v>3.994047633594967</c:v>
                </c:pt>
              </c:numCache>
            </c:numRef>
          </c:yVal>
          <c:smooth val="0"/>
        </c:ser>
        <c:axId val="29717933"/>
        <c:axId val="66134806"/>
      </c:scatterChart>
      <c:valAx>
        <c:axId val="297179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6134806"/>
        <c:crossesAt val="-400"/>
        <c:crossBetween val="midCat"/>
        <c:dispUnits/>
      </c:valAx>
      <c:valAx>
        <c:axId val="66134806"/>
        <c:scaling>
          <c:orientation val="minMax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17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Impedance at Source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Resistance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Calculator'!$E$5:$E$64</c:f>
              <c:numCache>
                <c:ptCount val="60"/>
                <c:pt idx="0">
                  <c:v>623.2309325874543</c:v>
                </c:pt>
                <c:pt idx="1">
                  <c:v>30.906611291951943</c:v>
                </c:pt>
                <c:pt idx="2">
                  <c:v>27.177236502413276</c:v>
                </c:pt>
                <c:pt idx="3">
                  <c:v>23.447861712874605</c:v>
                </c:pt>
                <c:pt idx="4">
                  <c:v>19.718486923335934</c:v>
                </c:pt>
                <c:pt idx="5">
                  <c:v>23.447861712874605</c:v>
                </c:pt>
                <c:pt idx="6">
                  <c:v>27.177236502413276</c:v>
                </c:pt>
                <c:pt idx="7">
                  <c:v>30.906611291951943</c:v>
                </c:pt>
                <c:pt idx="8">
                  <c:v>71.35069446185925</c:v>
                </c:pt>
                <c:pt idx="9">
                  <c:v>354.55701265011214</c:v>
                </c:pt>
                <c:pt idx="10">
                  <c:v>112.95285666180267</c:v>
                </c:pt>
                <c:pt idx="11">
                  <c:v>71.9297339768773</c:v>
                </c:pt>
                <c:pt idx="12">
                  <c:v>64.47098439779997</c:v>
                </c:pt>
                <c:pt idx="13">
                  <c:v>57.01223481872263</c:v>
                </c:pt>
                <c:pt idx="14">
                  <c:v>53.282860029183965</c:v>
                </c:pt>
                <c:pt idx="15">
                  <c:v>49.55348523964529</c:v>
                </c:pt>
                <c:pt idx="16">
                  <c:v>49.55348523964529</c:v>
                </c:pt>
                <c:pt idx="17">
                  <c:v>60.43798211197868</c:v>
                </c:pt>
                <c:pt idx="18">
                  <c:v>215.41445840574272</c:v>
                </c:pt>
                <c:pt idx="19">
                  <c:v>487.44270524250527</c:v>
                </c:pt>
                <c:pt idx="20">
                  <c:v>640.5578457091219</c:v>
                </c:pt>
                <c:pt idx="21">
                  <c:v>194.99910203165342</c:v>
                </c:pt>
                <c:pt idx="22">
                  <c:v>183.81097766303736</c:v>
                </c:pt>
                <c:pt idx="23">
                  <c:v>60.74160960826131</c:v>
                </c:pt>
                <c:pt idx="24">
                  <c:v>42.094735660567956</c:v>
                </c:pt>
                <c:pt idx="25">
                  <c:v>49.55348523964529</c:v>
                </c:pt>
                <c:pt idx="26">
                  <c:v>146.5172297676507</c:v>
                </c:pt>
                <c:pt idx="27">
                  <c:v>152.1112919519587</c:v>
                </c:pt>
                <c:pt idx="28">
                  <c:v>142.78785497811202</c:v>
                </c:pt>
                <c:pt idx="29">
                  <c:v>101.76473229318665</c:v>
                </c:pt>
                <c:pt idx="30">
                  <c:v>83.1178583454933</c:v>
                </c:pt>
                <c:pt idx="31">
                  <c:v>68.20035918733863</c:v>
                </c:pt>
                <c:pt idx="32">
                  <c:v>60.74160960826131</c:v>
                </c:pt>
                <c:pt idx="33">
                  <c:v>57.01223481872263</c:v>
                </c:pt>
                <c:pt idx="34">
                  <c:v>53.282860029183965</c:v>
                </c:pt>
                <c:pt idx="35">
                  <c:v>49.55348523964529</c:v>
                </c:pt>
                <c:pt idx="36">
                  <c:v>49.55348523964529</c:v>
                </c:pt>
                <c:pt idx="37">
                  <c:v>58.63471843068801</c:v>
                </c:pt>
                <c:pt idx="38">
                  <c:v>592.4767225254781</c:v>
                </c:pt>
                <c:pt idx="39">
                  <c:v>689.6575929253457</c:v>
                </c:pt>
                <c:pt idx="40">
                  <c:v>738.459541216526</c:v>
                </c:pt>
                <c:pt idx="41">
                  <c:v>273.07018672799086</c:v>
                </c:pt>
                <c:pt idx="42">
                  <c:v>114.817544056572</c:v>
                </c:pt>
                <c:pt idx="43">
                  <c:v>142.78785497811202</c:v>
                </c:pt>
                <c:pt idx="44">
                  <c:v>60.74160960826131</c:v>
                </c:pt>
                <c:pt idx="45">
                  <c:v>49.55348523964529</c:v>
                </c:pt>
                <c:pt idx="46">
                  <c:v>45.82411045010662</c:v>
                </c:pt>
                <c:pt idx="47">
                  <c:v>62.62140059453697</c:v>
                </c:pt>
                <c:pt idx="48">
                  <c:v>62.674315656608016</c:v>
                </c:pt>
                <c:pt idx="49">
                  <c:v>238.36060745349565</c:v>
                </c:pt>
                <c:pt idx="50">
                  <c:v>240.64258935018944</c:v>
                </c:pt>
                <c:pt idx="51">
                  <c:v>258.6039684134091</c:v>
                </c:pt>
                <c:pt idx="52">
                  <c:v>301.3526163777269</c:v>
                </c:pt>
                <c:pt idx="53">
                  <c:v>418.5162621734158</c:v>
                </c:pt>
                <c:pt idx="54">
                  <c:v>208.83628391404892</c:v>
                </c:pt>
                <c:pt idx="55">
                  <c:v>90.57660792457065</c:v>
                </c:pt>
                <c:pt idx="56">
                  <c:v>64.47098439779997</c:v>
                </c:pt>
                <c:pt idx="57">
                  <c:v>58.87692221349197</c:v>
                </c:pt>
                <c:pt idx="58">
                  <c:v>81.97809704063958</c:v>
                </c:pt>
                <c:pt idx="59">
                  <c:v>124.14098103041869</c:v>
                </c:pt>
              </c:numCache>
            </c:numRef>
          </c:yVal>
          <c:smooth val="0"/>
        </c:ser>
        <c:ser>
          <c:idx val="2"/>
          <c:order val="1"/>
          <c:tx>
            <c:v>Impedance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Calculator'!$G$5:$G$64</c:f>
              <c:numCache>
                <c:ptCount val="60"/>
                <c:pt idx="0">
                  <c:v>1167.867635903792</c:v>
                </c:pt>
                <c:pt idx="1">
                  <c:v>172.82335785050412</c:v>
                </c:pt>
                <c:pt idx="2">
                  <c:v>54.757637416959895</c:v>
                </c:pt>
                <c:pt idx="3">
                  <c:v>23.447861712874605</c:v>
                </c:pt>
                <c:pt idx="4">
                  <c:v>19.718486923335934</c:v>
                </c:pt>
                <c:pt idx="5">
                  <c:v>23.447861712874605</c:v>
                </c:pt>
                <c:pt idx="6">
                  <c:v>51.89508960544248</c:v>
                </c:pt>
                <c:pt idx="7">
                  <c:v>70.42426099503805</c:v>
                </c:pt>
                <c:pt idx="8">
                  <c:v>175.07901220037576</c:v>
                </c:pt>
                <c:pt idx="9">
                  <c:v>354.55701265011214</c:v>
                </c:pt>
                <c:pt idx="10">
                  <c:v>123.67957187595034</c:v>
                </c:pt>
                <c:pt idx="11">
                  <c:v>73.69167701025032</c:v>
                </c:pt>
                <c:pt idx="12">
                  <c:v>64.47098439779997</c:v>
                </c:pt>
                <c:pt idx="13">
                  <c:v>57.83427804560847</c:v>
                </c:pt>
                <c:pt idx="14">
                  <c:v>59.766159635395624</c:v>
                </c:pt>
                <c:pt idx="15">
                  <c:v>68.9011996120161</c:v>
                </c:pt>
                <c:pt idx="16">
                  <c:v>74.35474420025153</c:v>
                </c:pt>
                <c:pt idx="17">
                  <c:v>121.92367005422894</c:v>
                </c:pt>
                <c:pt idx="18">
                  <c:v>405.3050338942169</c:v>
                </c:pt>
                <c:pt idx="19">
                  <c:v>691.4045771689766</c:v>
                </c:pt>
                <c:pt idx="20">
                  <c:v>817.8873621753823</c:v>
                </c:pt>
                <c:pt idx="21">
                  <c:v>280.0122190086701</c:v>
                </c:pt>
                <c:pt idx="22">
                  <c:v>270.874472357064</c:v>
                </c:pt>
                <c:pt idx="23">
                  <c:v>117.4099288308041</c:v>
                </c:pt>
                <c:pt idx="24">
                  <c:v>67.39396953174511</c:v>
                </c:pt>
                <c:pt idx="25">
                  <c:v>51.71237189614135</c:v>
                </c:pt>
                <c:pt idx="26">
                  <c:v>148.7906249447712</c:v>
                </c:pt>
                <c:pt idx="27">
                  <c:v>152.1112919519587</c:v>
                </c:pt>
                <c:pt idx="28">
                  <c:v>144.89270884625122</c:v>
                </c:pt>
                <c:pt idx="29">
                  <c:v>109.41365755125946</c:v>
                </c:pt>
                <c:pt idx="30">
                  <c:v>88.8351106414631</c:v>
                </c:pt>
                <c:pt idx="31">
                  <c:v>72.28305309613162</c:v>
                </c:pt>
                <c:pt idx="32">
                  <c:v>63.25850407579064</c:v>
                </c:pt>
                <c:pt idx="33">
                  <c:v>58.31985048667558</c:v>
                </c:pt>
                <c:pt idx="34">
                  <c:v>53.82530625328266</c:v>
                </c:pt>
                <c:pt idx="35">
                  <c:v>49.583685934162354</c:v>
                </c:pt>
                <c:pt idx="36">
                  <c:v>49.55348523964529</c:v>
                </c:pt>
                <c:pt idx="37">
                  <c:v>66.84920996554683</c:v>
                </c:pt>
                <c:pt idx="38">
                  <c:v>600.1108575238743</c:v>
                </c:pt>
                <c:pt idx="39">
                  <c:v>724.9325747224302</c:v>
                </c:pt>
                <c:pt idx="40">
                  <c:v>743.0751745462877</c:v>
                </c:pt>
                <c:pt idx="41">
                  <c:v>356.9594763365736</c:v>
                </c:pt>
                <c:pt idx="42">
                  <c:v>134.19941207230505</c:v>
                </c:pt>
                <c:pt idx="43">
                  <c:v>165.76948225794413</c:v>
                </c:pt>
                <c:pt idx="44">
                  <c:v>87.6259941720304</c:v>
                </c:pt>
                <c:pt idx="45">
                  <c:v>50.25326920092889</c:v>
                </c:pt>
                <c:pt idx="46">
                  <c:v>45.82411045010662</c:v>
                </c:pt>
                <c:pt idx="47">
                  <c:v>69.10833564150035</c:v>
                </c:pt>
                <c:pt idx="48">
                  <c:v>69.05696803368501</c:v>
                </c:pt>
                <c:pt idx="49">
                  <c:v>240.44980797670019</c:v>
                </c:pt>
                <c:pt idx="50">
                  <c:v>240.64258935018944</c:v>
                </c:pt>
                <c:pt idx="51">
                  <c:v>259.4159162887225</c:v>
                </c:pt>
                <c:pt idx="52">
                  <c:v>302.37672029697</c:v>
                </c:pt>
                <c:pt idx="53">
                  <c:v>418.5162621734158</c:v>
                </c:pt>
                <c:pt idx="54">
                  <c:v>286.25306109479345</c:v>
                </c:pt>
                <c:pt idx="55">
                  <c:v>112.65448165326916</c:v>
                </c:pt>
                <c:pt idx="56">
                  <c:v>78.520194548637</c:v>
                </c:pt>
                <c:pt idx="57">
                  <c:v>60.11905597450383</c:v>
                </c:pt>
                <c:pt idx="58">
                  <c:v>84.45580223517003</c:v>
                </c:pt>
                <c:pt idx="59">
                  <c:v>124.70250175046432</c:v>
                </c:pt>
              </c:numCache>
            </c:numRef>
          </c:yVal>
          <c:smooth val="0"/>
        </c:ser>
        <c:axId val="58342343"/>
        <c:axId val="55319040"/>
      </c:scatterChart>
      <c:valAx>
        <c:axId val="5834234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5319040"/>
        <c:crossesAt val="1"/>
        <c:crossBetween val="midCat"/>
        <c:dispUnits/>
      </c:valAx>
      <c:valAx>
        <c:axId val="55319040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3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Impedance at Antenna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Resistance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Calculator'!$I$5:$I$64</c:f>
              <c:numCache>
                <c:ptCount val="60"/>
                <c:pt idx="0">
                  <c:v>88.29969297323115</c:v>
                </c:pt>
                <c:pt idx="1">
                  <c:v>10.439918068988533</c:v>
                </c:pt>
                <c:pt idx="2">
                  <c:v>33.55545729929715</c:v>
                </c:pt>
                <c:pt idx="3">
                  <c:v>280.65454448429665</c:v>
                </c:pt>
                <c:pt idx="4">
                  <c:v>571.8298024082422</c:v>
                </c:pt>
                <c:pt idx="5">
                  <c:v>545.0034209441308</c:v>
                </c:pt>
                <c:pt idx="6">
                  <c:v>85.26368206518882</c:v>
                </c:pt>
                <c:pt idx="7">
                  <c:v>46.84865026460691</c:v>
                </c:pt>
                <c:pt idx="8">
                  <c:v>22.335193416995935</c:v>
                </c:pt>
                <c:pt idx="9">
                  <c:v>54.3256332423462</c:v>
                </c:pt>
                <c:pt idx="10">
                  <c:v>171.94357010598088</c:v>
                </c:pt>
                <c:pt idx="11">
                  <c:v>127.89337818569975</c:v>
                </c:pt>
                <c:pt idx="12">
                  <c:v>96.68133557890171</c:v>
                </c:pt>
                <c:pt idx="13">
                  <c:v>77.93773348264034</c:v>
                </c:pt>
                <c:pt idx="14">
                  <c:v>58.26441981868113</c:v>
                </c:pt>
                <c:pt idx="15">
                  <c:v>43.02921767713632</c:v>
                </c:pt>
                <c:pt idx="16">
                  <c:v>39.73428515120913</c:v>
                </c:pt>
                <c:pt idx="17">
                  <c:v>31.855532681705814</c:v>
                </c:pt>
                <c:pt idx="18">
                  <c:v>68.60785486751577</c:v>
                </c:pt>
                <c:pt idx="19">
                  <c:v>256.4328312298373</c:v>
                </c:pt>
                <c:pt idx="20">
                  <c:v>452.10215663124256</c:v>
                </c:pt>
                <c:pt idx="21">
                  <c:v>88.35715042072812</c:v>
                </c:pt>
                <c:pt idx="22">
                  <c:v>78.02437064926478</c:v>
                </c:pt>
                <c:pt idx="23">
                  <c:v>33.08462914245949</c:v>
                </c:pt>
                <c:pt idx="24">
                  <c:v>41.63828431432574</c:v>
                </c:pt>
                <c:pt idx="25">
                  <c:v>249.88379461238551</c:v>
                </c:pt>
                <c:pt idx="26">
                  <c:v>88.43536872789791</c:v>
                </c:pt>
                <c:pt idx="27">
                  <c:v>86.14711893712376</c:v>
                </c:pt>
                <c:pt idx="28">
                  <c:v>88.82101623983064</c:v>
                </c:pt>
                <c:pt idx="29">
                  <c:v>115.81754575135513</c:v>
                </c:pt>
                <c:pt idx="30">
                  <c:v>148.6501533501154</c:v>
                </c:pt>
                <c:pt idx="31">
                  <c:v>190.4412716320322</c:v>
                </c:pt>
                <c:pt idx="32">
                  <c:v>220.71039089112494</c:v>
                </c:pt>
                <c:pt idx="33">
                  <c:v>231.63355994307489</c:v>
                </c:pt>
                <c:pt idx="34">
                  <c:v>231.45157186539356</c:v>
                </c:pt>
                <c:pt idx="35">
                  <c:v>213.48059683204235</c:v>
                </c:pt>
                <c:pt idx="36">
                  <c:v>204.7429388326886</c:v>
                </c:pt>
                <c:pt idx="37">
                  <c:v>92.35080179888767</c:v>
                </c:pt>
                <c:pt idx="38">
                  <c:v>308.1100448762435</c:v>
                </c:pt>
                <c:pt idx="39">
                  <c:v>330.3012595617297</c:v>
                </c:pt>
                <c:pt idx="40">
                  <c:v>555.4479403918941</c:v>
                </c:pt>
                <c:pt idx="41">
                  <c:v>136.69958910885885</c:v>
                </c:pt>
                <c:pt idx="42">
                  <c:v>70.96938532292772</c:v>
                </c:pt>
                <c:pt idx="43">
                  <c:v>60.49474062221513</c:v>
                </c:pt>
                <c:pt idx="44">
                  <c:v>60.075724104803065</c:v>
                </c:pt>
                <c:pt idx="45">
                  <c:v>261.67721062578175</c:v>
                </c:pt>
                <c:pt idx="46">
                  <c:v>259.8707957002652</c:v>
                </c:pt>
                <c:pt idx="47">
                  <c:v>109.14133657558982</c:v>
                </c:pt>
                <c:pt idx="48">
                  <c:v>100.08876323138554</c:v>
                </c:pt>
                <c:pt idx="49">
                  <c:v>224.15706117939607</c:v>
                </c:pt>
                <c:pt idx="50">
                  <c:v>210.96770763592323</c:v>
                </c:pt>
                <c:pt idx="51">
                  <c:v>258.60396841340923</c:v>
                </c:pt>
                <c:pt idx="52">
                  <c:v>272.4294523261815</c:v>
                </c:pt>
                <c:pt idx="53">
                  <c:v>293.00166762278445</c:v>
                </c:pt>
                <c:pt idx="54">
                  <c:v>63.53499651265598</c:v>
                </c:pt>
                <c:pt idx="55">
                  <c:v>57.6905669428889</c:v>
                </c:pt>
                <c:pt idx="56">
                  <c:v>73.60048718154773</c:v>
                </c:pt>
                <c:pt idx="57">
                  <c:v>191.71465078704614</c:v>
                </c:pt>
                <c:pt idx="58">
                  <c:v>126.41863745907268</c:v>
                </c:pt>
                <c:pt idx="59">
                  <c:v>101.20868598034457</c:v>
                </c:pt>
              </c:numCache>
            </c:numRef>
          </c:yVal>
          <c:smooth val="0"/>
        </c:ser>
        <c:ser>
          <c:idx val="2"/>
          <c:order val="1"/>
          <c:tx>
            <c:v>Impedance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'Impedance at Load Calculator'!$A$5:$A$64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4.41</c:v>
                </c:pt>
                <c:pt idx="5">
                  <c:v>4.52</c:v>
                </c:pt>
                <c:pt idx="6">
                  <c:v>5</c:v>
                </c:pt>
                <c:pt idx="7">
                  <c:v>5.3</c:v>
                </c:pt>
                <c:pt idx="8">
                  <c:v>6</c:v>
                </c:pt>
                <c:pt idx="9">
                  <c:v>6.5</c:v>
                </c:pt>
                <c:pt idx="10">
                  <c:v>6.75</c:v>
                </c:pt>
                <c:pt idx="11">
                  <c:v>6.9</c:v>
                </c:pt>
                <c:pt idx="12">
                  <c:v>6.96</c:v>
                </c:pt>
                <c:pt idx="13">
                  <c:v>7</c:v>
                </c:pt>
                <c:pt idx="14">
                  <c:v>7.1</c:v>
                </c:pt>
                <c:pt idx="15">
                  <c:v>7.2</c:v>
                </c:pt>
                <c:pt idx="16">
                  <c:v>7.25</c:v>
                </c:pt>
                <c:pt idx="17">
                  <c:v>7.5</c:v>
                </c:pt>
                <c:pt idx="18">
                  <c:v>8.5</c:v>
                </c:pt>
                <c:pt idx="19">
                  <c:v>9</c:v>
                </c:pt>
                <c:pt idx="20">
                  <c:v>9.12</c:v>
                </c:pt>
                <c:pt idx="21">
                  <c:v>10</c:v>
                </c:pt>
                <c:pt idx="22">
                  <c:v>10.1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13.65</c:v>
                </c:pt>
                <c:pt idx="27">
                  <c:v>13.73</c:v>
                </c:pt>
                <c:pt idx="28">
                  <c:v>13.82</c:v>
                </c:pt>
                <c:pt idx="29">
                  <c:v>14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14.62</c:v>
                </c:pt>
                <c:pt idx="37">
                  <c:v>15</c:v>
                </c:pt>
                <c:pt idx="38">
                  <c:v>18</c:v>
                </c:pt>
                <c:pt idx="39">
                  <c:v>18.1</c:v>
                </c:pt>
                <c:pt idx="40">
                  <c:v>18.25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23.49</c:v>
                </c:pt>
                <c:pt idx="47">
                  <c:v>24</c:v>
                </c:pt>
                <c:pt idx="48">
                  <c:v>24.2</c:v>
                </c:pt>
                <c:pt idx="49">
                  <c:v>27</c:v>
                </c:pt>
                <c:pt idx="50">
                  <c:v>27.1</c:v>
                </c:pt>
                <c:pt idx="51">
                  <c:v>27.7</c:v>
                </c:pt>
                <c:pt idx="52">
                  <c:v>28</c:v>
                </c:pt>
                <c:pt idx="53">
                  <c:v>28.25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</c:numCache>
            </c:numRef>
          </c:xVal>
          <c:yVal>
            <c:numRef>
              <c:f>'Impedance at Load Calculator'!$K$5:$K$64</c:f>
              <c:numCache>
                <c:ptCount val="60"/>
                <c:pt idx="0">
                  <c:v>426.6156843018327</c:v>
                </c:pt>
                <c:pt idx="1">
                  <c:v>37.6530899659896</c:v>
                </c:pt>
                <c:pt idx="2">
                  <c:v>82.31179760430624</c:v>
                </c:pt>
                <c:pt idx="3">
                  <c:v>387.57964149437544</c:v>
                </c:pt>
                <c:pt idx="4">
                  <c:v>614.7492653741109</c:v>
                </c:pt>
                <c:pt idx="5">
                  <c:v>551.400205289484</c:v>
                </c:pt>
                <c:pt idx="6">
                  <c:v>190.88266750477237</c:v>
                </c:pt>
                <c:pt idx="7">
                  <c:v>119.46586956923929</c:v>
                </c:pt>
                <c:pt idx="8">
                  <c:v>24.49219162156045</c:v>
                </c:pt>
                <c:pt idx="9">
                  <c:v>90.40692267656992</c:v>
                </c:pt>
                <c:pt idx="10">
                  <c:v>173.56314637263375</c:v>
                </c:pt>
                <c:pt idx="11">
                  <c:v>140.86681188876605</c:v>
                </c:pt>
                <c:pt idx="12">
                  <c:v>113.02774413124688</c:v>
                </c:pt>
                <c:pt idx="13">
                  <c:v>96.84315833060448</c:v>
                </c:pt>
                <c:pt idx="14">
                  <c:v>71.62532524710598</c:v>
                </c:pt>
                <c:pt idx="15">
                  <c:v>48.972416123008614</c:v>
                </c:pt>
                <c:pt idx="16">
                  <c:v>42.876497776549975</c:v>
                </c:pt>
                <c:pt idx="17">
                  <c:v>40.52841126418387</c:v>
                </c:pt>
                <c:pt idx="18">
                  <c:v>208.3157326175694</c:v>
                </c:pt>
                <c:pt idx="19">
                  <c:v>495.2581831400162</c:v>
                </c:pt>
                <c:pt idx="20">
                  <c:v>684.3109458100133</c:v>
                </c:pt>
                <c:pt idx="21">
                  <c:v>168.4227061055669</c:v>
                </c:pt>
                <c:pt idx="22">
                  <c:v>153.65339711190734</c:v>
                </c:pt>
                <c:pt idx="23">
                  <c:v>39.322248515290156</c:v>
                </c:pt>
                <c:pt idx="24">
                  <c:v>65.95989564705914</c:v>
                </c:pt>
                <c:pt idx="25">
                  <c:v>257.7250420472035</c:v>
                </c:pt>
                <c:pt idx="26">
                  <c:v>90.39720995158619</c:v>
                </c:pt>
                <c:pt idx="27">
                  <c:v>86.17096839644023</c:v>
                </c:pt>
                <c:pt idx="28">
                  <c:v>90.05641216259073</c:v>
                </c:pt>
                <c:pt idx="29">
                  <c:v>124.22848970025284</c:v>
                </c:pt>
                <c:pt idx="30">
                  <c:v>156.3256425667773</c:v>
                </c:pt>
                <c:pt idx="31">
                  <c:v>195.08971368890062</c:v>
                </c:pt>
                <c:pt idx="32">
                  <c:v>221.417853611335</c:v>
                </c:pt>
                <c:pt idx="33">
                  <c:v>232.2184251148105</c:v>
                </c:pt>
                <c:pt idx="34">
                  <c:v>237.4246042116279</c:v>
                </c:pt>
                <c:pt idx="35">
                  <c:v>232.18360638506093</c:v>
                </c:pt>
                <c:pt idx="36">
                  <c:v>226.1734453655703</c:v>
                </c:pt>
                <c:pt idx="37">
                  <c:v>120.6981522716374</c:v>
                </c:pt>
                <c:pt idx="38">
                  <c:v>425.43834725754374</c:v>
                </c:pt>
                <c:pt idx="39">
                  <c:v>494.8438082600631</c:v>
                </c:pt>
                <c:pt idx="40">
                  <c:v>641.9300235092486</c:v>
                </c:pt>
                <c:pt idx="41">
                  <c:v>239.26437798119696</c:v>
                </c:pt>
                <c:pt idx="42">
                  <c:v>78.30109173299742</c:v>
                </c:pt>
                <c:pt idx="43">
                  <c:v>63.995760284535656</c:v>
                </c:pt>
                <c:pt idx="44">
                  <c:v>86.31680747548226</c:v>
                </c:pt>
                <c:pt idx="45">
                  <c:v>263.41864061564826</c:v>
                </c:pt>
                <c:pt idx="46">
                  <c:v>270.3206938658527</c:v>
                </c:pt>
                <c:pt idx="47">
                  <c:v>134.35579363790336</c:v>
                </c:pt>
                <c:pt idx="48">
                  <c:v>124.22831177429202</c:v>
                </c:pt>
                <c:pt idx="49">
                  <c:v>231.49655787991804</c:v>
                </c:pt>
                <c:pt idx="50">
                  <c:v>221.70491268488968</c:v>
                </c:pt>
                <c:pt idx="51">
                  <c:v>259.41591628872254</c:v>
                </c:pt>
                <c:pt idx="52">
                  <c:v>285.305958039978</c:v>
                </c:pt>
                <c:pt idx="53">
                  <c:v>344.5270400501323</c:v>
                </c:pt>
                <c:pt idx="54">
                  <c:v>125.77140694119157</c:v>
                </c:pt>
                <c:pt idx="55">
                  <c:v>57.69729081053891</c:v>
                </c:pt>
                <c:pt idx="56">
                  <c:v>94.30135098086416</c:v>
                </c:pt>
                <c:pt idx="57">
                  <c:v>203.2548330729683</c:v>
                </c:pt>
                <c:pt idx="58">
                  <c:v>134.52892037630244</c:v>
                </c:pt>
                <c:pt idx="59">
                  <c:v>101.28746484322441</c:v>
                </c:pt>
              </c:numCache>
            </c:numRef>
          </c:yVal>
          <c:smooth val="0"/>
        </c:ser>
        <c:axId val="28109313"/>
        <c:axId val="51657226"/>
      </c:scatterChart>
      <c:valAx>
        <c:axId val="2810931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MHz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1657226"/>
        <c:crossesAt val="1"/>
        <c:crossBetween val="midCat"/>
        <c:dispUnits/>
      </c:valAx>
      <c:valAx>
        <c:axId val="5165722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810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6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6.140625" style="2" bestFit="1" customWidth="1"/>
    <col min="2" max="2" width="5.28125" style="122" bestFit="1" customWidth="1"/>
    <col min="3" max="3" width="6.57421875" style="122" bestFit="1" customWidth="1"/>
    <col min="4" max="4" width="11.28125" style="123" bestFit="1" customWidth="1"/>
    <col min="5" max="5" width="6.57421875" style="122" bestFit="1" customWidth="1"/>
    <col min="6" max="6" width="7.28125" style="122" bestFit="1" customWidth="1"/>
    <col min="7" max="7" width="7.57421875" style="122" bestFit="1" customWidth="1"/>
    <col min="8" max="8" width="7.28125" style="122" bestFit="1" customWidth="1"/>
    <col min="9" max="9" width="6.57421875" style="121" bestFit="1" customWidth="1"/>
    <col min="10" max="10" width="7.28125" style="121" bestFit="1" customWidth="1"/>
    <col min="11" max="11" width="6.57421875" style="121" bestFit="1" customWidth="1"/>
    <col min="12" max="12" width="5.57421875" style="121" bestFit="1" customWidth="1"/>
    <col min="13" max="13" width="9.140625" style="121" hidden="1" customWidth="1"/>
    <col min="14" max="14" width="7.8515625" style="121" hidden="1" customWidth="1"/>
    <col min="15" max="15" width="6.57421875" style="121" hidden="1" customWidth="1"/>
    <col min="16" max="16" width="10.57421875" style="121" hidden="1" customWidth="1"/>
    <col min="17" max="17" width="8.57421875" style="121" hidden="1" customWidth="1"/>
    <col min="18" max="18" width="12.7109375" style="121" hidden="1" customWidth="1"/>
    <col min="19" max="20" width="6.57421875" style="121" hidden="1" customWidth="1"/>
    <col min="21" max="21" width="9.140625" style="121" hidden="1" customWidth="1"/>
    <col min="22" max="22" width="6.57421875" style="122" hidden="1" customWidth="1"/>
    <col min="23" max="23" width="7.28125" style="122" hidden="1" customWidth="1"/>
    <col min="24" max="24" width="6.57421875" style="122" hidden="1" customWidth="1"/>
    <col min="25" max="26" width="7.28125" style="122" hidden="1" customWidth="1"/>
    <col min="27" max="29" width="7.57421875" style="122" hidden="1" customWidth="1"/>
    <col min="30" max="30" width="8.00390625" style="122" customWidth="1"/>
    <col min="31" max="31" width="17.7109375" style="2" bestFit="1" customWidth="1"/>
    <col min="32" max="32" width="6.57421875" style="122" bestFit="1" customWidth="1"/>
    <col min="33" max="33" width="5.28125" style="2" bestFit="1" customWidth="1"/>
    <col min="34" max="16384" width="0" style="122" hidden="1" customWidth="1"/>
  </cols>
  <sheetData>
    <row r="1" spans="1:28" ht="13.5" thickBot="1">
      <c r="A1" s="226" t="s">
        <v>111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X1" s="121"/>
      <c r="Y1" s="121"/>
      <c r="Z1" s="121"/>
      <c r="AA1" s="121"/>
      <c r="AB1" s="121"/>
    </row>
    <row r="2" spans="1:33" s="2" customFormat="1" ht="15">
      <c r="A2" s="156"/>
      <c r="B2" s="4"/>
      <c r="C2" s="5" t="s">
        <v>49</v>
      </c>
      <c r="D2" s="64" t="s">
        <v>37</v>
      </c>
      <c r="E2" s="228" t="s">
        <v>98</v>
      </c>
      <c r="F2" s="228"/>
      <c r="G2" s="229"/>
      <c r="H2" s="64" t="s">
        <v>108</v>
      </c>
      <c r="I2" s="235" t="s">
        <v>99</v>
      </c>
      <c r="J2" s="236"/>
      <c r="K2" s="237"/>
      <c r="L2" s="164" t="s">
        <v>100</v>
      </c>
      <c r="M2" s="62"/>
      <c r="N2" s="218" t="s">
        <v>101</v>
      </c>
      <c r="O2" s="219"/>
      <c r="P2" s="219"/>
      <c r="Q2" s="219"/>
      <c r="R2" s="219"/>
      <c r="S2" s="219"/>
      <c r="T2" s="220"/>
      <c r="U2" s="3"/>
      <c r="V2" s="223" t="s">
        <v>102</v>
      </c>
      <c r="W2" s="224"/>
      <c r="X2" s="224"/>
      <c r="Y2" s="224"/>
      <c r="Z2" s="224"/>
      <c r="AA2" s="224"/>
      <c r="AB2" s="224"/>
      <c r="AC2" s="225"/>
      <c r="AE2" s="6" t="s">
        <v>3</v>
      </c>
      <c r="AF2" s="158">
        <f>'Resistance Calibration'!B17</f>
        <v>37.293747895386694</v>
      </c>
      <c r="AG2" s="7"/>
    </row>
    <row r="3" spans="1:33" s="1" customFormat="1" ht="15.75" thickBot="1">
      <c r="A3" s="8" t="s">
        <v>25</v>
      </c>
      <c r="B3" s="9"/>
      <c r="C3" s="9" t="s">
        <v>50</v>
      </c>
      <c r="D3" s="159" t="s">
        <v>38</v>
      </c>
      <c r="E3" s="230" t="s">
        <v>40</v>
      </c>
      <c r="F3" s="231"/>
      <c r="G3" s="231"/>
      <c r="H3" s="159" t="s">
        <v>35</v>
      </c>
      <c r="I3" s="238" t="s">
        <v>40</v>
      </c>
      <c r="J3" s="238"/>
      <c r="K3" s="238"/>
      <c r="L3" s="165" t="s">
        <v>35</v>
      </c>
      <c r="M3" s="62"/>
      <c r="N3" s="221" t="s">
        <v>92</v>
      </c>
      <c r="O3" s="222"/>
      <c r="P3" s="166"/>
      <c r="Q3" s="166"/>
      <c r="R3" s="166"/>
      <c r="S3" s="166"/>
      <c r="T3" s="167"/>
      <c r="U3" s="168"/>
      <c r="V3" s="232" t="s">
        <v>28</v>
      </c>
      <c r="W3" s="233"/>
      <c r="X3" s="233"/>
      <c r="Y3" s="234" t="s">
        <v>29</v>
      </c>
      <c r="Z3" s="234"/>
      <c r="AA3" s="234"/>
      <c r="AB3" s="119"/>
      <c r="AC3" s="160"/>
      <c r="AE3" s="11" t="s">
        <v>4</v>
      </c>
      <c r="AF3" s="161">
        <f>'Resistance Calibration'!B18</f>
        <v>-6.38713660343475</v>
      </c>
      <c r="AG3" s="12"/>
    </row>
    <row r="4" spans="1:33" s="1" customFormat="1" ht="15.75" thickBot="1">
      <c r="A4" s="13" t="s">
        <v>41</v>
      </c>
      <c r="B4" s="14" t="s">
        <v>51</v>
      </c>
      <c r="C4" s="14" t="s">
        <v>52</v>
      </c>
      <c r="D4" s="67" t="s">
        <v>39</v>
      </c>
      <c r="E4" s="120" t="s">
        <v>32</v>
      </c>
      <c r="F4" s="15" t="s">
        <v>33</v>
      </c>
      <c r="G4" s="15" t="s">
        <v>34</v>
      </c>
      <c r="H4" s="16" t="str">
        <f>"("&amp;FIXED($AF$5,0)&amp;")"</f>
        <v>(50)</v>
      </c>
      <c r="I4" s="169" t="s">
        <v>32</v>
      </c>
      <c r="J4" s="169" t="s">
        <v>33</v>
      </c>
      <c r="K4" s="169" t="s">
        <v>34</v>
      </c>
      <c r="L4" s="170" t="str">
        <f>"("&amp;FIXED($AF$6,0)&amp;")"</f>
        <v>(114)</v>
      </c>
      <c r="M4" s="171"/>
      <c r="N4" s="172" t="s">
        <v>93</v>
      </c>
      <c r="O4" s="166" t="s">
        <v>94</v>
      </c>
      <c r="P4" s="166" t="s">
        <v>95</v>
      </c>
      <c r="Q4" s="166" t="s">
        <v>96</v>
      </c>
      <c r="R4" s="166" t="s">
        <v>97</v>
      </c>
      <c r="S4" s="166" t="s">
        <v>26</v>
      </c>
      <c r="T4" s="167" t="s">
        <v>27</v>
      </c>
      <c r="U4" s="168"/>
      <c r="V4" s="17" t="s">
        <v>32</v>
      </c>
      <c r="W4" s="10" t="s">
        <v>33</v>
      </c>
      <c r="X4" s="10" t="s">
        <v>34</v>
      </c>
      <c r="Y4" s="10" t="s">
        <v>32</v>
      </c>
      <c r="Z4" s="10" t="s">
        <v>33</v>
      </c>
      <c r="AA4" s="10" t="s">
        <v>34</v>
      </c>
      <c r="AB4" s="119" t="s">
        <v>26</v>
      </c>
      <c r="AC4" s="160" t="s">
        <v>27</v>
      </c>
      <c r="AE4" s="11" t="s">
        <v>30</v>
      </c>
      <c r="AF4" s="189">
        <f>'Transmission Lines'!I6</f>
        <v>200</v>
      </c>
      <c r="AG4" s="162" t="s">
        <v>36</v>
      </c>
    </row>
    <row r="5" spans="1:33" ht="13.5" thickBot="1">
      <c r="A5" s="176">
        <v>1</v>
      </c>
      <c r="B5" s="124">
        <v>5</v>
      </c>
      <c r="C5" s="124">
        <v>5</v>
      </c>
      <c r="D5" s="125">
        <v>1</v>
      </c>
      <c r="E5" s="126">
        <f>IF(B5&gt;0,IF($D5=0,V5,Y5),"")</f>
        <v>623.2309325874543</v>
      </c>
      <c r="F5" s="71">
        <f>IF(B5&gt;0,IF($D5=0,W5,Z5),"")</f>
        <v>987.6730327682759</v>
      </c>
      <c r="G5" s="71">
        <f>IF(B5&gt;0,IF($D5=0,X5,AA5),"")</f>
        <v>1167.867635903792</v>
      </c>
      <c r="H5" s="72">
        <f>IF(B5&gt;0,(AB5+AC5)/(AB5-AC5),"")</f>
        <v>43.82657291581931</v>
      </c>
      <c r="I5" s="127">
        <f>IF(B5&gt;0,P5/Q5,"")</f>
        <v>88.29969297323115</v>
      </c>
      <c r="J5" s="128">
        <f>IF(B5&gt;0,R5/Q5,"")</f>
        <v>-417.37765430501196</v>
      </c>
      <c r="K5" s="128">
        <f>IF(B5&gt;0,SQRT(I5^2+J5^2),"")</f>
        <v>426.6156843018327</v>
      </c>
      <c r="L5" s="129">
        <f>IF(B5&gt;0,(S5+T5)/(S5-T5),"")</f>
        <v>19.256361251343616</v>
      </c>
      <c r="N5" s="130">
        <f aca="true" t="shared" si="0" ref="N5:N45">$AF$8/(299.79/A5)/$AF$7*360</f>
        <v>19.494584837545126</v>
      </c>
      <c r="O5" s="130">
        <f>RADIANS(N5)</f>
        <v>0.3402446917245263</v>
      </c>
      <c r="P5" s="130">
        <f aca="true" t="shared" si="1" ref="P5:P35">E5*(1+TAN(O5)^2)</f>
        <v>701.3371286646568</v>
      </c>
      <c r="Q5" s="130">
        <f aca="true" t="shared" si="2" ref="Q5:Q35">(1-F5*TAN(O5)/$AF$6)^2+(E5*TAN(O5)/$AF$6)^2</f>
        <v>7.942690456208874</v>
      </c>
      <c r="R5" s="131">
        <f aca="true" t="shared" si="3" ref="R5:R35">(F5*(1-TAN(O5)^2))+(($AF$6-(E5^2+F5^2)/$AF$6)*TAN(O5))</f>
        <v>-3315.1015114832653</v>
      </c>
      <c r="S5" s="130">
        <f aca="true" t="shared" si="4" ref="S5:S45">SQRT((I5+$AF$6)^2+J5^2)</f>
        <v>464.0084846266903</v>
      </c>
      <c r="T5" s="130">
        <f aca="true" t="shared" si="5" ref="T5:T45">SQRT((I5-$AF$6)^2+J5^2)</f>
        <v>418.1948778422129</v>
      </c>
      <c r="V5" s="132">
        <f aca="true" t="shared" si="6" ref="V5:V10">B5*$AF$2+$AF$3</f>
        <v>180.08160287349872</v>
      </c>
      <c r="W5" s="130">
        <f aca="true" t="shared" si="7" ref="W5:W10">1000000/2/PI()/180*C5/A5/(C5+180)</f>
        <v>23.897138602386686</v>
      </c>
      <c r="X5" s="130">
        <f aca="true" t="shared" si="8" ref="X5:X10">SQRT(V5^2+W5^2)</f>
        <v>181.66027889131453</v>
      </c>
      <c r="Y5" s="130">
        <f aca="true" t="shared" si="9" ref="Y5:Y10">$AF$4*($AF$4*V5-V5^2-W5^2)/(W5^2+($AF$4-V5)^2)</f>
        <v>623.2309325874543</v>
      </c>
      <c r="Z5" s="130">
        <f aca="true" t="shared" si="10" ref="Z5:Z10">$AF$4^2*W5/(W5^2+($AF$4-V5)^2)</f>
        <v>987.6730327682759</v>
      </c>
      <c r="AA5" s="130">
        <f aca="true" t="shared" si="11" ref="AA5:AA10">SQRT(Y5^2+Z5^2)</f>
        <v>1167.867635903792</v>
      </c>
      <c r="AB5" s="130">
        <f aca="true" t="shared" si="12" ref="AB5:AB10">SQRT((E5+$AF$5)^2+F5^2)</f>
        <v>1195.2982507517765</v>
      </c>
      <c r="AC5" s="133">
        <f aca="true" t="shared" si="13" ref="AC5:AC10">SQRT((E5-$AF$5)^2+F5^2)</f>
        <v>1141.968354085509</v>
      </c>
      <c r="AE5" s="22" t="s">
        <v>89</v>
      </c>
      <c r="AF5" s="23">
        <v>50</v>
      </c>
      <c r="AG5" s="163" t="s">
        <v>36</v>
      </c>
    </row>
    <row r="6" spans="1:33" ht="15">
      <c r="A6" s="24">
        <v>2</v>
      </c>
      <c r="B6" s="135">
        <v>1</v>
      </c>
      <c r="C6" s="135">
        <v>-50</v>
      </c>
      <c r="D6" s="136">
        <v>0</v>
      </c>
      <c r="E6" s="137">
        <f>IF(B6&gt;0,IF($D6=0,V6,Y6),"")</f>
        <v>30.906611291951943</v>
      </c>
      <c r="F6" s="73">
        <f>IF(B6&gt;0,IF($D6=0,W6,Z6),"")</f>
        <v>-170.03733236313604</v>
      </c>
      <c r="G6" s="73">
        <f>IF(B6&gt;0,IF($D6=0,X6,AA6),"")</f>
        <v>172.82335785050412</v>
      </c>
      <c r="H6" s="74">
        <f>IF(B6&gt;0,(AB6+AC6)/(AB6-AC6),"")</f>
        <v>20.89777204584904</v>
      </c>
      <c r="I6" s="138">
        <f>IF(B6&gt;0,P6/Q6,"")</f>
        <v>10.439918068988533</v>
      </c>
      <c r="J6" s="139">
        <f>IF(B6&gt;0,R6/Q6,"")</f>
        <v>-36.17683367432414</v>
      </c>
      <c r="K6" s="139">
        <f>IF(B6&gt;0,SQRT(I6^2+J6^2),"")</f>
        <v>37.6530899659896</v>
      </c>
      <c r="L6" s="140">
        <f>IF(B6&gt;0,(S6+T6)/(S6-T6),"")</f>
        <v>12.06478433175051</v>
      </c>
      <c r="N6" s="130">
        <f t="shared" si="0"/>
        <v>38.98916967509025</v>
      </c>
      <c r="O6" s="130">
        <f>RADIANS(N6)</f>
        <v>0.6804893834490526</v>
      </c>
      <c r="P6" s="130">
        <f t="shared" si="1"/>
        <v>51.15796642535867</v>
      </c>
      <c r="Q6" s="130">
        <f t="shared" si="2"/>
        <v>4.900226810909742</v>
      </c>
      <c r="R6" s="131">
        <f t="shared" si="3"/>
        <v>-177.27469030474555</v>
      </c>
      <c r="S6" s="130">
        <f t="shared" si="4"/>
        <v>130.00588518040658</v>
      </c>
      <c r="T6" s="130">
        <f t="shared" si="5"/>
        <v>110.10415823578927</v>
      </c>
      <c r="V6" s="132">
        <f>B6*$AF$2+$AF$3</f>
        <v>30.906611291951943</v>
      </c>
      <c r="W6" s="130">
        <f>1000000/2/PI()/180*C6/A6/(C6+180)</f>
        <v>-170.03733236313604</v>
      </c>
      <c r="X6" s="130">
        <f t="shared" si="8"/>
        <v>172.82335785050412</v>
      </c>
      <c r="Y6" s="130">
        <f t="shared" si="9"/>
        <v>-82.380593560859</v>
      </c>
      <c r="Z6" s="130">
        <f t="shared" si="10"/>
        <v>-118.27600273348303</v>
      </c>
      <c r="AA6" s="130">
        <f t="shared" si="11"/>
        <v>144.1380415367516</v>
      </c>
      <c r="AB6" s="130">
        <f>SQRT((E6+$AF$5)^2+F6^2)</f>
        <v>188.3044719275636</v>
      </c>
      <c r="AC6" s="133">
        <f>SQRT((E6-$AF$5)^2+F6^2)</f>
        <v>171.1059668437317</v>
      </c>
      <c r="AE6" s="55" t="s">
        <v>109</v>
      </c>
      <c r="AF6" s="190">
        <f>'Transmission Lines'!I19</f>
        <v>114.43108291539272</v>
      </c>
      <c r="AG6" s="174" t="s">
        <v>36</v>
      </c>
    </row>
    <row r="7" spans="1:33" ht="12.75">
      <c r="A7" s="24">
        <v>3</v>
      </c>
      <c r="B7" s="135">
        <v>0.9</v>
      </c>
      <c r="C7" s="135">
        <v>-25</v>
      </c>
      <c r="D7" s="136">
        <v>0</v>
      </c>
      <c r="E7" s="137">
        <f>IF(B7&gt;0,IF($D7=0,V7,Y7),"")</f>
        <v>27.177236502413276</v>
      </c>
      <c r="F7" s="73">
        <f>IF(B7&gt;0,IF($D7=0,W7,Z7),"")</f>
        <v>-47.53731872517782</v>
      </c>
      <c r="G7" s="73">
        <f>IF(B7&gt;0,IF($D7=0,X7,AA7),"")</f>
        <v>54.757637416959895</v>
      </c>
      <c r="H7" s="74">
        <f>IF(B7&gt;0,(AB7+AC7)/(AB7-AC7),"")</f>
        <v>3.7819100229941567</v>
      </c>
      <c r="I7" s="138">
        <f>IF(B7&gt;0,P7/Q7,"")</f>
        <v>33.55545729929715</v>
      </c>
      <c r="J7" s="139">
        <f>IF(B7&gt;0,R7/Q7,"")</f>
        <v>75.1615813450417</v>
      </c>
      <c r="K7" s="139">
        <f>IF(B7&gt;0,SQRT(I7^2+J7^2),"")</f>
        <v>82.31179760430624</v>
      </c>
      <c r="L7" s="140">
        <f>IF(B7&gt;0,(S7+T7)/(S7-T7),"")</f>
        <v>4.973628432967844</v>
      </c>
      <c r="N7" s="130">
        <f t="shared" si="0"/>
        <v>58.48375451263539</v>
      </c>
      <c r="O7" s="130">
        <f>RADIANS(N7)</f>
        <v>1.0207340751735792</v>
      </c>
      <c r="P7" s="130">
        <f t="shared" si="1"/>
        <v>99.45653621298563</v>
      </c>
      <c r="Q7" s="130">
        <f t="shared" si="2"/>
        <v>2.9639451885839394</v>
      </c>
      <c r="R7" s="131">
        <f t="shared" si="3"/>
        <v>222.7748073939967</v>
      </c>
      <c r="S7" s="130">
        <f t="shared" si="4"/>
        <v>165.97975597946078</v>
      </c>
      <c r="T7" s="130">
        <f t="shared" si="5"/>
        <v>110.40892232551757</v>
      </c>
      <c r="V7" s="132">
        <f>B7*$AF$2+$AF$3</f>
        <v>27.177236502413276</v>
      </c>
      <c r="W7" s="130">
        <f>1000000/2/PI()/180*C7/A7/(C7+180)</f>
        <v>-47.53731872517782</v>
      </c>
      <c r="X7" s="130">
        <f t="shared" si="8"/>
        <v>54.757637416959895</v>
      </c>
      <c r="Y7" s="130">
        <f t="shared" si="9"/>
        <v>15.17110339905967</v>
      </c>
      <c r="Z7" s="130">
        <f t="shared" si="10"/>
        <v>-59.185822027849504</v>
      </c>
      <c r="AA7" s="130">
        <f t="shared" si="11"/>
        <v>61.09929547431161</v>
      </c>
      <c r="AB7" s="130">
        <f>SQRT((E7+$AF$5)^2+F7^2)</f>
        <v>90.64282931224385</v>
      </c>
      <c r="AC7" s="133">
        <f>SQRT((E7-$AF$5)^2+F7^2)</f>
        <v>52.732107915822205</v>
      </c>
      <c r="AE7" s="55" t="s">
        <v>90</v>
      </c>
      <c r="AF7" s="190">
        <f>'Transmission Lines'!E8</f>
        <v>0.6626847324991036</v>
      </c>
      <c r="AG7" s="175"/>
    </row>
    <row r="8" spans="1:33" ht="13.5" thickBot="1">
      <c r="A8" s="24">
        <v>4</v>
      </c>
      <c r="B8" s="135">
        <v>0.8</v>
      </c>
      <c r="C8" s="135">
        <v>0</v>
      </c>
      <c r="D8" s="136">
        <v>0</v>
      </c>
      <c r="E8" s="137">
        <f aca="true" t="shared" si="14" ref="E8:E13">IF(B8&gt;0,IF($D8=0,V8,Y8),"")</f>
        <v>23.447861712874605</v>
      </c>
      <c r="F8" s="73">
        <f aca="true" t="shared" si="15" ref="F8:F13">IF(B8&gt;0,IF($D8=0,W8,Z8),"")</f>
        <v>0</v>
      </c>
      <c r="G8" s="73">
        <f aca="true" t="shared" si="16" ref="G8:G13">IF(B8&gt;0,IF($D8=0,X8,AA8),"")</f>
        <v>23.447861712874605</v>
      </c>
      <c r="H8" s="74">
        <f aca="true" t="shared" si="17" ref="H8:H13">IF(B8&gt;0,(AB8+AC8)/(AB8-AC8),"")</f>
        <v>2.1323906039818676</v>
      </c>
      <c r="I8" s="138">
        <f aca="true" t="shared" si="18" ref="I8:I13">IF(B8&gt;0,P8/Q8,"")</f>
        <v>280.65454448429665</v>
      </c>
      <c r="J8" s="139">
        <f aca="true" t="shared" si="19" ref="J8:J13">IF(B8&gt;0,R8/Q8,"")</f>
        <v>267.3032082883042</v>
      </c>
      <c r="K8" s="139">
        <f aca="true" t="shared" si="20" ref="K8:K64">IF(B8&gt;0,SQRT(I8^2+J8^2),"")</f>
        <v>387.57964149437544</v>
      </c>
      <c r="L8" s="140">
        <f aca="true" t="shared" si="21" ref="L8:L13">IF(B8&gt;0,(S8+T8)/(S8-T8),"")</f>
        <v>4.88023532024507</v>
      </c>
      <c r="N8" s="130">
        <f t="shared" si="0"/>
        <v>77.9783393501805</v>
      </c>
      <c r="O8" s="130">
        <f aca="true" t="shared" si="22" ref="O8:O64">RADIANS(N8)</f>
        <v>1.3609787668981053</v>
      </c>
      <c r="P8" s="130">
        <f t="shared" si="1"/>
        <v>540.5078422181128</v>
      </c>
      <c r="Q8" s="130">
        <f t="shared" si="2"/>
        <v>1.9258830930790634</v>
      </c>
      <c r="R8" s="131">
        <f t="shared" si="3"/>
        <v>514.7947295682363</v>
      </c>
      <c r="S8" s="130">
        <f t="shared" si="4"/>
        <v>477.0153646781482</v>
      </c>
      <c r="T8" s="130">
        <f t="shared" si="5"/>
        <v>314.7717337010574</v>
      </c>
      <c r="V8" s="132">
        <f t="shared" si="6"/>
        <v>23.447861712874605</v>
      </c>
      <c r="W8" s="130">
        <f t="shared" si="7"/>
        <v>0</v>
      </c>
      <c r="X8" s="130">
        <f t="shared" si="8"/>
        <v>23.447861712874605</v>
      </c>
      <c r="Y8" s="130">
        <f t="shared" si="9"/>
        <v>26.561968538428605</v>
      </c>
      <c r="Z8" s="130">
        <f t="shared" si="10"/>
        <v>0</v>
      </c>
      <c r="AA8" s="130">
        <f t="shared" si="11"/>
        <v>26.561968538428605</v>
      </c>
      <c r="AB8" s="130">
        <f t="shared" si="12"/>
        <v>73.44786171287461</v>
      </c>
      <c r="AC8" s="133">
        <f t="shared" si="13"/>
        <v>26.552138287125395</v>
      </c>
      <c r="AE8" s="22" t="s">
        <v>92</v>
      </c>
      <c r="AF8" s="191">
        <f>'Transmission Lines'!E33</f>
        <v>10.758100503027418</v>
      </c>
      <c r="AG8" s="163" t="s">
        <v>91</v>
      </c>
    </row>
    <row r="9" spans="1:29" ht="12.75">
      <c r="A9" s="24">
        <v>4.41</v>
      </c>
      <c r="B9" s="135">
        <v>0.7</v>
      </c>
      <c r="C9" s="135">
        <v>0</v>
      </c>
      <c r="D9" s="136">
        <v>0</v>
      </c>
      <c r="E9" s="137">
        <f t="shared" si="14"/>
        <v>19.718486923335934</v>
      </c>
      <c r="F9" s="73">
        <f t="shared" si="15"/>
        <v>0</v>
      </c>
      <c r="G9" s="73">
        <f t="shared" si="16"/>
        <v>19.718486923335934</v>
      </c>
      <c r="H9" s="74">
        <f t="shared" si="17"/>
        <v>2.5356915160071067</v>
      </c>
      <c r="I9" s="138">
        <f t="shared" si="18"/>
        <v>571.8298024082422</v>
      </c>
      <c r="J9" s="139">
        <f t="shared" si="19"/>
        <v>225.67085845487352</v>
      </c>
      <c r="K9" s="139">
        <f t="shared" si="20"/>
        <v>614.7492653741109</v>
      </c>
      <c r="L9" s="140">
        <f t="shared" si="21"/>
        <v>5.803238522321343</v>
      </c>
      <c r="N9" s="130">
        <f t="shared" si="0"/>
        <v>85.97111913357402</v>
      </c>
      <c r="O9" s="130">
        <f t="shared" si="22"/>
        <v>1.5004790905051615</v>
      </c>
      <c r="P9" s="130">
        <f t="shared" si="1"/>
        <v>3994.5320513129036</v>
      </c>
      <c r="Q9" s="130">
        <f t="shared" si="2"/>
        <v>6.985526173155132</v>
      </c>
      <c r="R9" s="131">
        <f t="shared" si="3"/>
        <v>1576.429688254906</v>
      </c>
      <c r="S9" s="130">
        <f t="shared" si="4"/>
        <v>722.4135512855077</v>
      </c>
      <c r="T9" s="130">
        <f t="shared" si="5"/>
        <v>510.0401209213428</v>
      </c>
      <c r="V9" s="132">
        <f t="shared" si="6"/>
        <v>19.718486923335934</v>
      </c>
      <c r="W9" s="130">
        <f t="shared" si="7"/>
        <v>0</v>
      </c>
      <c r="X9" s="130">
        <f t="shared" si="8"/>
        <v>19.718486923335934</v>
      </c>
      <c r="Y9" s="130">
        <f t="shared" si="9"/>
        <v>21.87521791538406</v>
      </c>
      <c r="Z9" s="130">
        <f t="shared" si="10"/>
        <v>0</v>
      </c>
      <c r="AA9" s="130">
        <f t="shared" si="11"/>
        <v>21.87521791538406</v>
      </c>
      <c r="AB9" s="130">
        <f t="shared" si="12"/>
        <v>69.71848692333593</v>
      </c>
      <c r="AC9" s="133">
        <f t="shared" si="13"/>
        <v>30.281513076664066</v>
      </c>
    </row>
    <row r="10" spans="1:29" ht="12.75">
      <c r="A10" s="24">
        <v>4.52</v>
      </c>
      <c r="B10" s="135">
        <v>0.8</v>
      </c>
      <c r="C10" s="135">
        <v>0</v>
      </c>
      <c r="D10" s="136">
        <v>0</v>
      </c>
      <c r="E10" s="137">
        <f t="shared" si="14"/>
        <v>23.447861712874605</v>
      </c>
      <c r="F10" s="73">
        <f t="shared" si="15"/>
        <v>0</v>
      </c>
      <c r="G10" s="73">
        <f t="shared" si="16"/>
        <v>23.447861712874605</v>
      </c>
      <c r="H10" s="74">
        <f t="shared" si="17"/>
        <v>2.1323906039818676</v>
      </c>
      <c r="I10" s="138">
        <f t="shared" si="18"/>
        <v>545.0034209441308</v>
      </c>
      <c r="J10" s="139">
        <f t="shared" si="19"/>
        <v>83.74638829513576</v>
      </c>
      <c r="K10" s="139">
        <f t="shared" si="20"/>
        <v>551.400205289484</v>
      </c>
      <c r="L10" s="140">
        <f t="shared" si="21"/>
        <v>4.88023532024507</v>
      </c>
      <c r="N10" s="130">
        <f t="shared" si="0"/>
        <v>88.11552346570396</v>
      </c>
      <c r="O10" s="130">
        <f t="shared" si="22"/>
        <v>1.5379060065948589</v>
      </c>
      <c r="P10" s="130">
        <f t="shared" si="1"/>
        <v>21683.213668960307</v>
      </c>
      <c r="Q10" s="130">
        <f t="shared" si="2"/>
        <v>39.78546342222518</v>
      </c>
      <c r="R10" s="131">
        <f t="shared" si="3"/>
        <v>3331.8888682595903</v>
      </c>
      <c r="S10" s="130">
        <f t="shared" si="4"/>
        <v>664.7310150977879</v>
      </c>
      <c r="T10" s="130">
        <f t="shared" si="5"/>
        <v>438.6410785916129</v>
      </c>
      <c r="V10" s="132">
        <f t="shared" si="6"/>
        <v>23.447861712874605</v>
      </c>
      <c r="W10" s="130">
        <f t="shared" si="7"/>
        <v>0</v>
      </c>
      <c r="X10" s="130">
        <f t="shared" si="8"/>
        <v>23.447861712874605</v>
      </c>
      <c r="Y10" s="130">
        <f t="shared" si="9"/>
        <v>26.561968538428605</v>
      </c>
      <c r="Z10" s="130">
        <f t="shared" si="10"/>
        <v>0</v>
      </c>
      <c r="AA10" s="130">
        <f t="shared" si="11"/>
        <v>26.561968538428605</v>
      </c>
      <c r="AB10" s="130">
        <f t="shared" si="12"/>
        <v>73.44786171287461</v>
      </c>
      <c r="AC10" s="133">
        <f t="shared" si="13"/>
        <v>26.552138287125395</v>
      </c>
    </row>
    <row r="11" spans="1:33" ht="12.75">
      <c r="A11" s="24">
        <v>5</v>
      </c>
      <c r="B11" s="135">
        <v>0.9</v>
      </c>
      <c r="C11" s="135">
        <v>60</v>
      </c>
      <c r="D11" s="136">
        <v>0</v>
      </c>
      <c r="E11" s="137">
        <f t="shared" si="14"/>
        <v>27.177236502413276</v>
      </c>
      <c r="F11" s="73">
        <f t="shared" si="15"/>
        <v>44.20970641441537</v>
      </c>
      <c r="G11" s="73">
        <f t="shared" si="16"/>
        <v>51.89508960544248</v>
      </c>
      <c r="H11" s="74">
        <f t="shared" si="17"/>
        <v>3.539096441923123</v>
      </c>
      <c r="I11" s="138">
        <f t="shared" si="18"/>
        <v>85.26368206518882</v>
      </c>
      <c r="J11" s="139">
        <f t="shared" si="19"/>
        <v>-170.78143129281906</v>
      </c>
      <c r="K11" s="139">
        <f t="shared" si="20"/>
        <v>190.88266750477237</v>
      </c>
      <c r="L11" s="140">
        <f t="shared" si="21"/>
        <v>4.87123281068836</v>
      </c>
      <c r="N11" s="130">
        <f t="shared" si="0"/>
        <v>97.47292418772564</v>
      </c>
      <c r="O11" s="130">
        <f t="shared" si="22"/>
        <v>1.7012234586226318</v>
      </c>
      <c r="P11" s="130">
        <f t="shared" si="1"/>
        <v>1606.694963934488</v>
      </c>
      <c r="Q11" s="130">
        <f t="shared" si="2"/>
        <v>18.84383743486565</v>
      </c>
      <c r="R11" s="131">
        <f t="shared" si="3"/>
        <v>-3218.17752817556</v>
      </c>
      <c r="S11" s="130">
        <f t="shared" si="4"/>
        <v>262.7628140264021</v>
      </c>
      <c r="T11" s="130">
        <f t="shared" si="5"/>
        <v>173.2542482791702</v>
      </c>
      <c r="V11" s="132">
        <f aca="true" t="shared" si="23" ref="V11:V33">B11*$AF$2+$AF$3</f>
        <v>27.177236502413276</v>
      </c>
      <c r="W11" s="130">
        <f aca="true" t="shared" si="24" ref="W11:W33">1000000/2/PI()/180*C11/A11/(C11+180)</f>
        <v>44.20970641441537</v>
      </c>
      <c r="X11" s="130">
        <f aca="true" t="shared" si="25" ref="X11:X21">SQRT(V11^2+W11^2)</f>
        <v>51.89508960544248</v>
      </c>
      <c r="Y11" s="130">
        <f aca="true" t="shared" si="26" ref="Y11:Y21">$AF$4*($AF$4*V11-V11^2-W11^2)/(W11^2+($AF$4-V11)^2)</f>
        <v>17.235429869909918</v>
      </c>
      <c r="Z11" s="130">
        <f aca="true" t="shared" si="27" ref="Z11:Z21">$AF$4^2*W11/(W11^2+($AF$4-V11)^2)</f>
        <v>55.570888828497104</v>
      </c>
      <c r="AA11" s="130">
        <f aca="true" t="shared" si="28" ref="AA11:AA21">SQRT(Y11^2+Z11^2)</f>
        <v>58.18233175105452</v>
      </c>
      <c r="AB11" s="130">
        <f aca="true" t="shared" si="29" ref="AB11:AB45">SQRT((E11+$AF$5)^2+F11^2)</f>
        <v>88.94281294966015</v>
      </c>
      <c r="AC11" s="133">
        <f aca="true" t="shared" si="30" ref="AC11:AC45">SQRT((E11-$AF$5)^2+F11^2)</f>
        <v>49.753157436644926</v>
      </c>
      <c r="AE11" s="217" t="s">
        <v>46</v>
      </c>
      <c r="AF11" s="217"/>
      <c r="AG11" s="217"/>
    </row>
    <row r="12" spans="1:33" ht="12.75">
      <c r="A12" s="24">
        <v>5.3</v>
      </c>
      <c r="B12" s="135">
        <v>1</v>
      </c>
      <c r="C12" s="135">
        <v>110</v>
      </c>
      <c r="D12" s="136">
        <v>0</v>
      </c>
      <c r="E12" s="137">
        <f t="shared" si="14"/>
        <v>30.906611291951943</v>
      </c>
      <c r="F12" s="73">
        <f t="shared" si="15"/>
        <v>63.279996168974506</v>
      </c>
      <c r="G12" s="73">
        <f t="shared" si="16"/>
        <v>70.42426099503805</v>
      </c>
      <c r="H12" s="74">
        <f t="shared" si="17"/>
        <v>4.610264786540806</v>
      </c>
      <c r="I12" s="138">
        <f t="shared" si="18"/>
        <v>46.84865026460691</v>
      </c>
      <c r="J12" s="139">
        <f t="shared" si="19"/>
        <v>-109.89676046325951</v>
      </c>
      <c r="K12" s="139">
        <f t="shared" si="20"/>
        <v>119.46586956923929</v>
      </c>
      <c r="L12" s="140">
        <f t="shared" si="21"/>
        <v>4.9007556384765945</v>
      </c>
      <c r="N12" s="130">
        <f t="shared" si="0"/>
        <v>103.32129963898917</v>
      </c>
      <c r="O12" s="130">
        <f t="shared" si="22"/>
        <v>1.8032968661399897</v>
      </c>
      <c r="P12" s="130">
        <f t="shared" si="1"/>
        <v>582.1609759095289</v>
      </c>
      <c r="Q12" s="130">
        <f t="shared" si="2"/>
        <v>12.426419387141625</v>
      </c>
      <c r="R12" s="131">
        <f t="shared" si="3"/>
        <v>-1365.6232348047072</v>
      </c>
      <c r="S12" s="130">
        <f t="shared" si="4"/>
        <v>195.16262525117588</v>
      </c>
      <c r="T12" s="130">
        <f t="shared" si="5"/>
        <v>129.01427503697815</v>
      </c>
      <c r="V12" s="132">
        <f t="shared" si="23"/>
        <v>30.906611291951943</v>
      </c>
      <c r="W12" s="130">
        <f t="shared" si="24"/>
        <v>63.279996168974506</v>
      </c>
      <c r="X12" s="130">
        <f t="shared" si="25"/>
        <v>70.42426099503805</v>
      </c>
      <c r="Y12" s="130">
        <f t="shared" si="26"/>
        <v>7.496077980263128</v>
      </c>
      <c r="Z12" s="130">
        <f t="shared" si="27"/>
        <v>77.65147484470127</v>
      </c>
      <c r="AA12" s="130">
        <f t="shared" si="28"/>
        <v>78.01245240757055</v>
      </c>
      <c r="AB12" s="130">
        <f t="shared" si="29"/>
        <v>102.71434985381758</v>
      </c>
      <c r="AC12" s="133">
        <f t="shared" si="30"/>
        <v>66.09777157742948</v>
      </c>
      <c r="AE12" s="217" t="s">
        <v>43</v>
      </c>
      <c r="AF12" s="217"/>
      <c r="AG12" s="217"/>
    </row>
    <row r="13" spans="1:33" ht="12.75">
      <c r="A13" s="24">
        <v>6</v>
      </c>
      <c r="B13" s="135">
        <v>2.6</v>
      </c>
      <c r="C13" s="135">
        <v>140</v>
      </c>
      <c r="D13" s="136">
        <v>1</v>
      </c>
      <c r="E13" s="137">
        <f t="shared" si="14"/>
        <v>71.35069446185925</v>
      </c>
      <c r="F13" s="73">
        <f t="shared" si="15"/>
        <v>159.88038939428978</v>
      </c>
      <c r="G13" s="73">
        <f t="shared" si="16"/>
        <v>175.07901220037576</v>
      </c>
      <c r="H13" s="74">
        <f t="shared" si="17"/>
        <v>9.183991641897348</v>
      </c>
      <c r="I13" s="138">
        <f t="shared" si="18"/>
        <v>22.335193416995935</v>
      </c>
      <c r="J13" s="139">
        <f t="shared" si="19"/>
        <v>-10.050203254293782</v>
      </c>
      <c r="K13" s="139">
        <f t="shared" si="20"/>
        <v>24.49219162156045</v>
      </c>
      <c r="L13" s="140">
        <f t="shared" si="21"/>
        <v>5.164425318888225</v>
      </c>
      <c r="N13" s="130">
        <f t="shared" si="0"/>
        <v>116.96750902527079</v>
      </c>
      <c r="O13" s="130">
        <f t="shared" si="22"/>
        <v>2.0414681503471583</v>
      </c>
      <c r="P13" s="130">
        <f t="shared" si="1"/>
        <v>346.95411743944646</v>
      </c>
      <c r="Q13" s="130">
        <f t="shared" si="2"/>
        <v>15.533965207367858</v>
      </c>
      <c r="R13" s="131">
        <f t="shared" si="3"/>
        <v>-156.11950767917483</v>
      </c>
      <c r="S13" s="130">
        <f t="shared" si="4"/>
        <v>137.13504631304104</v>
      </c>
      <c r="T13" s="130">
        <f t="shared" si="5"/>
        <v>92.6426437875859</v>
      </c>
      <c r="V13" s="132">
        <f t="shared" si="23"/>
        <v>90.57660792457065</v>
      </c>
      <c r="W13" s="130">
        <f t="shared" si="24"/>
        <v>64.47248852102243</v>
      </c>
      <c r="X13" s="130">
        <f t="shared" si="25"/>
        <v>111.17924122431653</v>
      </c>
      <c r="Y13" s="130">
        <f t="shared" si="26"/>
        <v>71.35069446185925</v>
      </c>
      <c r="Z13" s="130">
        <f t="shared" si="27"/>
        <v>159.88038939428978</v>
      </c>
      <c r="AA13" s="130">
        <f t="shared" si="28"/>
        <v>175.07901220037576</v>
      </c>
      <c r="AB13" s="130">
        <f t="shared" si="29"/>
        <v>200.71803595901702</v>
      </c>
      <c r="AC13" s="133">
        <f t="shared" si="30"/>
        <v>161.29969332541646</v>
      </c>
      <c r="AE13" s="227" t="s">
        <v>44</v>
      </c>
      <c r="AF13" s="227"/>
      <c r="AG13" s="227"/>
    </row>
    <row r="14" spans="1:32" ht="12.75">
      <c r="A14" s="24">
        <v>6.5</v>
      </c>
      <c r="B14" s="135">
        <v>3.6</v>
      </c>
      <c r="C14" s="135">
        <v>0</v>
      </c>
      <c r="D14" s="136">
        <v>1</v>
      </c>
      <c r="E14" s="137">
        <f aca="true" t="shared" si="31" ref="E14:E42">IF(B14&gt;0,IF($D14=0,V14,Y14),"")</f>
        <v>354.55701265011214</v>
      </c>
      <c r="F14" s="73">
        <f aca="true" t="shared" si="32" ref="F14:F42">IF(B14&gt;0,IF($D14=0,W14,Z14),"")</f>
        <v>0</v>
      </c>
      <c r="G14" s="73">
        <f aca="true" t="shared" si="33" ref="G14:G42">IF(B14&gt;0,IF($D14=0,X14,AA14),"")</f>
        <v>354.55701265011214</v>
      </c>
      <c r="H14" s="74">
        <f aca="true" t="shared" si="34" ref="H14:H42">IF(B14&gt;0,(AB14+AC14)/(AB14-AC14),"")</f>
        <v>7.0911402530022425</v>
      </c>
      <c r="I14" s="138">
        <f aca="true" t="shared" si="35" ref="I14:I42">IF(B14&gt;0,P14/Q14,"")</f>
        <v>54.3256332423462</v>
      </c>
      <c r="J14" s="139">
        <f aca="true" t="shared" si="36" ref="J14:J42">IF(B14&gt;0,R14/Q14,"")</f>
        <v>72.26435664050004</v>
      </c>
      <c r="K14" s="139">
        <f>IF(B14&gt;0,SQRT(I14^2+J14^2),"")</f>
        <v>90.40692267656992</v>
      </c>
      <c r="L14" s="140">
        <f aca="true" t="shared" si="37" ref="L14:L42">IF(B14&gt;0,(S14+T14)/(S14-T14),"")</f>
        <v>3.098432730137335</v>
      </c>
      <c r="N14" s="130">
        <f t="shared" si="0"/>
        <v>126.71480144404335</v>
      </c>
      <c r="O14" s="130">
        <f t="shared" si="22"/>
        <v>2.2115904962094217</v>
      </c>
      <c r="P14" s="130">
        <f t="shared" si="1"/>
        <v>992.0359181783618</v>
      </c>
      <c r="Q14" s="130">
        <f t="shared" si="2"/>
        <v>18.26091770993074</v>
      </c>
      <c r="R14" s="131">
        <f t="shared" si="3"/>
        <v>1319.6134699732584</v>
      </c>
      <c r="S14" s="130">
        <f t="shared" si="4"/>
        <v>183.5782298885384</v>
      </c>
      <c r="T14" s="130">
        <f t="shared" si="5"/>
        <v>93.99362915147233</v>
      </c>
      <c r="V14" s="132">
        <f t="shared" si="23"/>
        <v>127.87035581995735</v>
      </c>
      <c r="W14" s="130">
        <f t="shared" si="24"/>
        <v>0</v>
      </c>
      <c r="X14" s="130">
        <f>SQRT(V14^2+W14^2)</f>
        <v>127.87035581995735</v>
      </c>
      <c r="Y14" s="130">
        <f>$AF$4*($AF$4*V14-V14^2-W14^2)/(W14^2+($AF$4-V14)^2)</f>
        <v>354.55701265011214</v>
      </c>
      <c r="Z14" s="130">
        <f>$AF$4^2*W14/(W14^2+($AF$4-V14)^2)</f>
        <v>0</v>
      </c>
      <c r="AA14" s="130">
        <f>SQRT(Y14^2+Z14^2)</f>
        <v>354.55701265011214</v>
      </c>
      <c r="AB14" s="130">
        <f t="shared" si="29"/>
        <v>404.55701265011214</v>
      </c>
      <c r="AC14" s="133">
        <f t="shared" si="30"/>
        <v>304.55701265011214</v>
      </c>
      <c r="AF14" s="2"/>
    </row>
    <row r="15" spans="1:33" ht="12.75">
      <c r="A15" s="24">
        <v>6.75</v>
      </c>
      <c r="B15" s="135">
        <v>3.2</v>
      </c>
      <c r="C15" s="135">
        <v>-50</v>
      </c>
      <c r="D15" s="136">
        <v>0</v>
      </c>
      <c r="E15" s="137">
        <f t="shared" si="31"/>
        <v>112.95285666180267</v>
      </c>
      <c r="F15" s="73">
        <f t="shared" si="32"/>
        <v>-50.38143181129957</v>
      </c>
      <c r="G15" s="73">
        <f t="shared" si="33"/>
        <v>123.67957187595034</v>
      </c>
      <c r="H15" s="74">
        <f t="shared" si="34"/>
        <v>2.7931420867723347</v>
      </c>
      <c r="I15" s="138">
        <f t="shared" si="35"/>
        <v>171.94357010598088</v>
      </c>
      <c r="J15" s="139">
        <f t="shared" si="36"/>
        <v>23.655326630125657</v>
      </c>
      <c r="K15" s="139">
        <f>IF(B15&gt;0,SQRT(I15^2+J15^2),"")</f>
        <v>173.56314637263375</v>
      </c>
      <c r="L15" s="140">
        <f t="shared" si="37"/>
        <v>1.5523766311185212</v>
      </c>
      <c r="N15" s="130">
        <f t="shared" si="0"/>
        <v>131.58844765342963</v>
      </c>
      <c r="O15" s="130">
        <f t="shared" si="22"/>
        <v>2.296651669140553</v>
      </c>
      <c r="P15" s="130">
        <f t="shared" si="1"/>
        <v>256.3627268491597</v>
      </c>
      <c r="Q15" s="130">
        <f t="shared" si="2"/>
        <v>1.4909701286948116</v>
      </c>
      <c r="R15" s="131">
        <f t="shared" si="3"/>
        <v>35.269385390036256</v>
      </c>
      <c r="S15" s="130">
        <f t="shared" si="4"/>
        <v>287.3499893354619</v>
      </c>
      <c r="T15" s="130">
        <f t="shared" si="5"/>
        <v>62.18730305155144</v>
      </c>
      <c r="V15" s="132">
        <f t="shared" si="23"/>
        <v>112.95285666180267</v>
      </c>
      <c r="W15" s="130">
        <f t="shared" si="24"/>
        <v>-50.38143181129957</v>
      </c>
      <c r="X15" s="130">
        <f>SQRT(V15^2+W15^2)</f>
        <v>123.67957187595034</v>
      </c>
      <c r="Y15" s="130">
        <f>$AF$4*($AF$4*V15-V15^2-W15^2)/(W15^2+($AF$4-V15)^2)</f>
        <v>144.21312398853206</v>
      </c>
      <c r="Z15" s="130">
        <f>$AF$4^2*W15/(W15^2+($AF$4-V15)^2)</f>
        <v>-199.22480359183456</v>
      </c>
      <c r="AA15" s="130">
        <f>SQRT(Y15^2+Z15^2)</f>
        <v>245.94297610774896</v>
      </c>
      <c r="AB15" s="130">
        <f t="shared" si="29"/>
        <v>170.56354289706414</v>
      </c>
      <c r="AC15" s="133">
        <f t="shared" si="30"/>
        <v>80.63095455988413</v>
      </c>
      <c r="AE15" s="217" t="s">
        <v>118</v>
      </c>
      <c r="AF15" s="217"/>
      <c r="AG15" s="217"/>
    </row>
    <row r="16" spans="1:33" ht="12.75">
      <c r="A16" s="24">
        <v>6.9</v>
      </c>
      <c r="B16" s="135">
        <v>2.1</v>
      </c>
      <c r="C16" s="135">
        <v>-20</v>
      </c>
      <c r="D16" s="136">
        <v>0</v>
      </c>
      <c r="E16" s="137">
        <f t="shared" si="31"/>
        <v>71.9297339768773</v>
      </c>
      <c r="F16" s="73">
        <f t="shared" si="32"/>
        <v>-16.01800957044035</v>
      </c>
      <c r="G16" s="73">
        <f t="shared" si="33"/>
        <v>73.69167701025032</v>
      </c>
      <c r="H16" s="74">
        <f t="shared" si="34"/>
        <v>1.566825076279848</v>
      </c>
      <c r="I16" s="138">
        <f t="shared" si="35"/>
        <v>127.89337818569975</v>
      </c>
      <c r="J16" s="139">
        <f t="shared" si="36"/>
        <v>-59.04864526773312</v>
      </c>
      <c r="K16" s="139">
        <f t="shared" si="20"/>
        <v>140.86681188876605</v>
      </c>
      <c r="L16" s="140">
        <f t="shared" si="37"/>
        <v>1.641391671245838</v>
      </c>
      <c r="N16" s="130">
        <f t="shared" si="0"/>
        <v>134.51263537906138</v>
      </c>
      <c r="O16" s="130">
        <f t="shared" si="22"/>
        <v>2.3476883728992317</v>
      </c>
      <c r="P16" s="130">
        <f t="shared" si="1"/>
        <v>146.34907261589532</v>
      </c>
      <c r="Q16" s="130">
        <f t="shared" si="2"/>
        <v>1.1443053166005055</v>
      </c>
      <c r="R16" s="131">
        <f t="shared" si="3"/>
        <v>-67.56967871792429</v>
      </c>
      <c r="S16" s="130">
        <f t="shared" si="4"/>
        <v>249.4150896715944</v>
      </c>
      <c r="T16" s="130">
        <f t="shared" si="5"/>
        <v>60.563816771233235</v>
      </c>
      <c r="V16" s="132">
        <f t="shared" si="23"/>
        <v>71.9297339768773</v>
      </c>
      <c r="W16" s="130">
        <f t="shared" si="24"/>
        <v>-16.01800957044035</v>
      </c>
      <c r="X16" s="130">
        <f t="shared" si="25"/>
        <v>73.69167701025032</v>
      </c>
      <c r="Y16" s="130">
        <f t="shared" si="26"/>
        <v>107.51803680973104</v>
      </c>
      <c r="Z16" s="130">
        <f t="shared" si="27"/>
        <v>-38.461908526152</v>
      </c>
      <c r="AA16" s="130">
        <f t="shared" si="28"/>
        <v>114.19039647401512</v>
      </c>
      <c r="AB16" s="130">
        <f t="shared" si="29"/>
        <v>122.97738271028045</v>
      </c>
      <c r="AC16" s="133">
        <f t="shared" si="30"/>
        <v>27.156764588133935</v>
      </c>
      <c r="AE16" s="217" t="s">
        <v>119</v>
      </c>
      <c r="AF16" s="217"/>
      <c r="AG16" s="217"/>
    </row>
    <row r="17" spans="1:33" ht="15">
      <c r="A17" s="24">
        <v>6.96</v>
      </c>
      <c r="B17" s="135">
        <v>1.9</v>
      </c>
      <c r="C17" s="135">
        <v>0</v>
      </c>
      <c r="D17" s="136">
        <v>0</v>
      </c>
      <c r="E17" s="137">
        <f t="shared" si="31"/>
        <v>64.47098439779997</v>
      </c>
      <c r="F17" s="73">
        <f t="shared" si="32"/>
        <v>0</v>
      </c>
      <c r="G17" s="73">
        <f t="shared" si="33"/>
        <v>64.47098439779997</v>
      </c>
      <c r="H17" s="74">
        <f t="shared" si="34"/>
        <v>1.2894196879559994</v>
      </c>
      <c r="I17" s="138">
        <f t="shared" si="35"/>
        <v>96.68133557890171</v>
      </c>
      <c r="J17" s="139">
        <f t="shared" si="36"/>
        <v>-58.549041786167656</v>
      </c>
      <c r="K17" s="139">
        <f t="shared" si="20"/>
        <v>113.02774413124688</v>
      </c>
      <c r="L17" s="140">
        <f t="shared" si="37"/>
        <v>1.7749237736053185</v>
      </c>
      <c r="N17" s="130">
        <f t="shared" si="0"/>
        <v>135.68231046931407</v>
      </c>
      <c r="O17" s="130">
        <f t="shared" si="22"/>
        <v>2.3681030544027033</v>
      </c>
      <c r="P17" s="130">
        <f t="shared" si="1"/>
        <v>125.94265987299231</v>
      </c>
      <c r="Q17" s="130">
        <f t="shared" si="2"/>
        <v>1.302657427298472</v>
      </c>
      <c r="R17" s="131">
        <f t="shared" si="3"/>
        <v>-76.26934414395988</v>
      </c>
      <c r="S17" s="130">
        <f t="shared" si="4"/>
        <v>219.08090637156977</v>
      </c>
      <c r="T17" s="130">
        <f t="shared" si="5"/>
        <v>61.18042027142079</v>
      </c>
      <c r="V17" s="132">
        <f t="shared" si="23"/>
        <v>64.47098439779997</v>
      </c>
      <c r="W17" s="130">
        <f t="shared" si="24"/>
        <v>0</v>
      </c>
      <c r="X17" s="130">
        <f t="shared" si="25"/>
        <v>64.47098439779997</v>
      </c>
      <c r="Y17" s="130">
        <f t="shared" si="26"/>
        <v>95.13975160423642</v>
      </c>
      <c r="Z17" s="130">
        <f t="shared" si="27"/>
        <v>0</v>
      </c>
      <c r="AA17" s="130">
        <f t="shared" si="28"/>
        <v>95.13975160423642</v>
      </c>
      <c r="AB17" s="130">
        <f t="shared" si="29"/>
        <v>114.47098439779997</v>
      </c>
      <c r="AC17" s="133">
        <f t="shared" si="30"/>
        <v>14.470984397799967</v>
      </c>
      <c r="AE17" s="217" t="s">
        <v>120</v>
      </c>
      <c r="AF17" s="217"/>
      <c r="AG17" s="217"/>
    </row>
    <row r="18" spans="1:29" ht="12.75">
      <c r="A18" s="24">
        <v>7</v>
      </c>
      <c r="B18" s="135">
        <v>1.7</v>
      </c>
      <c r="C18" s="135">
        <v>15</v>
      </c>
      <c r="D18" s="136">
        <v>0</v>
      </c>
      <c r="E18" s="137">
        <f t="shared" si="31"/>
        <v>57.01223481872263</v>
      </c>
      <c r="F18" s="73">
        <f t="shared" si="32"/>
        <v>9.716418992179202</v>
      </c>
      <c r="G18" s="73">
        <f t="shared" si="33"/>
        <v>57.83427804560847</v>
      </c>
      <c r="H18" s="74">
        <f t="shared" si="34"/>
        <v>1.2510213469416827</v>
      </c>
      <c r="I18" s="138">
        <f t="shared" si="35"/>
        <v>77.93773348264034</v>
      </c>
      <c r="J18" s="139">
        <f t="shared" si="36"/>
        <v>-57.483101995590424</v>
      </c>
      <c r="K18" s="139">
        <f t="shared" si="20"/>
        <v>96.84315833060448</v>
      </c>
      <c r="L18" s="140">
        <f t="shared" si="37"/>
        <v>2.02632126362725</v>
      </c>
      <c r="N18" s="130">
        <f t="shared" si="0"/>
        <v>136.4620938628159</v>
      </c>
      <c r="O18" s="130">
        <f t="shared" si="22"/>
        <v>2.3817128420716847</v>
      </c>
      <c r="P18" s="130">
        <f t="shared" si="1"/>
        <v>108.48990586914498</v>
      </c>
      <c r="Q18" s="130">
        <f t="shared" si="2"/>
        <v>1.3920074528894242</v>
      </c>
      <c r="R18" s="131">
        <f t="shared" si="3"/>
        <v>-80.0169063930648</v>
      </c>
      <c r="S18" s="130">
        <f t="shared" si="4"/>
        <v>200.77367491136783</v>
      </c>
      <c r="T18" s="130">
        <f t="shared" si="5"/>
        <v>68.0887036729032</v>
      </c>
      <c r="V18" s="132">
        <f t="shared" si="23"/>
        <v>57.01223481872263</v>
      </c>
      <c r="W18" s="130">
        <f t="shared" si="24"/>
        <v>9.716418992179202</v>
      </c>
      <c r="X18" s="130">
        <f t="shared" si="25"/>
        <v>57.83427804560847</v>
      </c>
      <c r="Y18" s="130">
        <f t="shared" si="26"/>
        <v>78.45840930402026</v>
      </c>
      <c r="Z18" s="130">
        <f t="shared" si="27"/>
        <v>18.922028561418916</v>
      </c>
      <c r="AA18" s="130">
        <f t="shared" si="28"/>
        <v>80.70790020435624</v>
      </c>
      <c r="AB18" s="130">
        <f t="shared" si="29"/>
        <v>107.45244156802121</v>
      </c>
      <c r="AC18" s="133">
        <f t="shared" si="30"/>
        <v>11.982497034612056</v>
      </c>
    </row>
    <row r="19" spans="1:29" ht="12.75">
      <c r="A19" s="24">
        <v>7.1</v>
      </c>
      <c r="B19" s="135">
        <v>1.6</v>
      </c>
      <c r="C19" s="135">
        <v>50</v>
      </c>
      <c r="D19" s="136">
        <v>0</v>
      </c>
      <c r="E19" s="137">
        <f t="shared" si="31"/>
        <v>53.282860029183965</v>
      </c>
      <c r="F19" s="73">
        <f t="shared" si="32"/>
        <v>27.072692231730173</v>
      </c>
      <c r="G19" s="73">
        <f t="shared" si="33"/>
        <v>59.766159635395624</v>
      </c>
      <c r="H19" s="74">
        <f t="shared" si="34"/>
        <v>1.6860537048972868</v>
      </c>
      <c r="I19" s="138">
        <f t="shared" si="35"/>
        <v>58.26441981868113</v>
      </c>
      <c r="J19" s="139">
        <f t="shared" si="36"/>
        <v>-41.658667764898524</v>
      </c>
      <c r="K19" s="139">
        <f t="shared" si="20"/>
        <v>71.62532524710598</v>
      </c>
      <c r="L19" s="140">
        <f t="shared" si="37"/>
        <v>2.298363204736747</v>
      </c>
      <c r="N19" s="130">
        <f t="shared" si="0"/>
        <v>138.4115523465704</v>
      </c>
      <c r="O19" s="130">
        <f t="shared" si="22"/>
        <v>2.415737311244137</v>
      </c>
      <c r="P19" s="130">
        <f t="shared" si="1"/>
        <v>95.24964546413715</v>
      </c>
      <c r="Q19" s="130">
        <f t="shared" si="2"/>
        <v>1.6347823553474665</v>
      </c>
      <c r="R19" s="131">
        <f t="shared" si="3"/>
        <v>-68.10285500933838</v>
      </c>
      <c r="S19" s="130">
        <f t="shared" si="4"/>
        <v>177.64903958232</v>
      </c>
      <c r="T19" s="130">
        <f t="shared" si="5"/>
        <v>69.92952626298636</v>
      </c>
      <c r="V19" s="132">
        <f t="shared" si="23"/>
        <v>53.282860029183965</v>
      </c>
      <c r="W19" s="130">
        <f t="shared" si="24"/>
        <v>27.072692231730173</v>
      </c>
      <c r="X19" s="130">
        <f t="shared" si="25"/>
        <v>59.766159635395624</v>
      </c>
      <c r="Y19" s="130">
        <f t="shared" si="26"/>
        <v>63.65628254549695</v>
      </c>
      <c r="Z19" s="130">
        <f t="shared" si="27"/>
        <v>48.6506579513215</v>
      </c>
      <c r="AA19" s="130">
        <f t="shared" si="28"/>
        <v>80.11871708039652</v>
      </c>
      <c r="AB19" s="130">
        <f t="shared" si="29"/>
        <v>106.77209298539573</v>
      </c>
      <c r="AC19" s="133">
        <f t="shared" si="30"/>
        <v>27.27100721728475</v>
      </c>
    </row>
    <row r="20" spans="1:32" ht="15">
      <c r="A20" s="24">
        <v>7.2</v>
      </c>
      <c r="B20" s="135">
        <v>1.5</v>
      </c>
      <c r="C20" s="135">
        <v>115</v>
      </c>
      <c r="D20" s="136">
        <v>0</v>
      </c>
      <c r="E20" s="137">
        <f t="shared" si="31"/>
        <v>49.55348523964529</v>
      </c>
      <c r="F20" s="73">
        <f t="shared" si="32"/>
        <v>47.873034252897995</v>
      </c>
      <c r="G20" s="73">
        <f t="shared" si="33"/>
        <v>68.9011996120161</v>
      </c>
      <c r="H20" s="74">
        <f t="shared" si="34"/>
        <v>2.5297806973859784</v>
      </c>
      <c r="I20" s="138">
        <f t="shared" si="35"/>
        <v>43.02921767713632</v>
      </c>
      <c r="J20" s="139">
        <f t="shared" si="36"/>
        <v>-23.383412219321905</v>
      </c>
      <c r="K20" s="139">
        <f t="shared" si="20"/>
        <v>48.972416123008614</v>
      </c>
      <c r="L20" s="140">
        <f t="shared" si="37"/>
        <v>2.787742528052295</v>
      </c>
      <c r="N20" s="130">
        <f t="shared" si="0"/>
        <v>140.36101083032491</v>
      </c>
      <c r="O20" s="130">
        <f t="shared" si="22"/>
        <v>2.4497617804165897</v>
      </c>
      <c r="P20" s="130">
        <f t="shared" si="1"/>
        <v>83.56093700629391</v>
      </c>
      <c r="Q20" s="130">
        <f t="shared" si="2"/>
        <v>1.94195808144321</v>
      </c>
      <c r="R20" s="131">
        <f t="shared" si="3"/>
        <v>-45.409606331030076</v>
      </c>
      <c r="S20" s="130">
        <f t="shared" si="4"/>
        <v>159.187091906688</v>
      </c>
      <c r="T20" s="130">
        <f t="shared" si="5"/>
        <v>75.13328374642532</v>
      </c>
      <c r="V20" s="132">
        <f t="shared" si="23"/>
        <v>49.55348523964529</v>
      </c>
      <c r="W20" s="130">
        <f t="shared" si="24"/>
        <v>47.873034252897995</v>
      </c>
      <c r="X20" s="130">
        <f t="shared" si="25"/>
        <v>68.9011996120161</v>
      </c>
      <c r="Y20" s="130">
        <f t="shared" si="26"/>
        <v>41.42923559169037</v>
      </c>
      <c r="Z20" s="130">
        <f t="shared" si="27"/>
        <v>76.824312504298</v>
      </c>
      <c r="AA20" s="130">
        <f t="shared" si="28"/>
        <v>87.28319742922932</v>
      </c>
      <c r="AB20" s="130">
        <f t="shared" si="29"/>
        <v>110.46593969156021</v>
      </c>
      <c r="AC20" s="133">
        <f t="shared" si="30"/>
        <v>47.87511654304728</v>
      </c>
      <c r="AE20" s="173" t="s">
        <v>110</v>
      </c>
      <c r="AF20" s="173" t="s">
        <v>71</v>
      </c>
    </row>
    <row r="21" spans="1:32" ht="12.75">
      <c r="A21" s="24">
        <v>7.25</v>
      </c>
      <c r="B21" s="135">
        <v>1.5</v>
      </c>
      <c r="C21" s="135">
        <v>150</v>
      </c>
      <c r="D21" s="136">
        <v>0</v>
      </c>
      <c r="E21" s="137">
        <f t="shared" si="31"/>
        <v>49.55348523964529</v>
      </c>
      <c r="F21" s="73">
        <f t="shared" si="32"/>
        <v>55.43536854472147</v>
      </c>
      <c r="G21" s="73">
        <f t="shared" si="33"/>
        <v>74.35474420025153</v>
      </c>
      <c r="H21" s="74">
        <f t="shared" si="34"/>
        <v>2.8949610295513932</v>
      </c>
      <c r="I21" s="138">
        <f t="shared" si="35"/>
        <v>39.73428515120913</v>
      </c>
      <c r="J21" s="139">
        <f t="shared" si="36"/>
        <v>-16.11150660568082</v>
      </c>
      <c r="K21" s="139">
        <f t="shared" si="20"/>
        <v>42.876497776549975</v>
      </c>
      <c r="L21" s="140">
        <f t="shared" si="37"/>
        <v>2.9446304384833897</v>
      </c>
      <c r="N21" s="130">
        <f t="shared" si="0"/>
        <v>141.33574007220219</v>
      </c>
      <c r="O21" s="130">
        <f t="shared" si="22"/>
        <v>2.4667740150028163</v>
      </c>
      <c r="P21" s="130">
        <f t="shared" si="1"/>
        <v>81.27781995527239</v>
      </c>
      <c r="Q21" s="130">
        <f t="shared" si="2"/>
        <v>2.0455337159324505</v>
      </c>
      <c r="R21" s="131">
        <f t="shared" si="3"/>
        <v>-32.95662997638851</v>
      </c>
      <c r="S21" s="130">
        <f t="shared" si="4"/>
        <v>155.00497203707923</v>
      </c>
      <c r="T21" s="130">
        <f t="shared" si="5"/>
        <v>76.414607512754</v>
      </c>
      <c r="V21" s="132">
        <f t="shared" si="23"/>
        <v>49.55348523964529</v>
      </c>
      <c r="W21" s="130">
        <f t="shared" si="24"/>
        <v>55.43536854472147</v>
      </c>
      <c r="X21" s="130">
        <f t="shared" si="25"/>
        <v>74.35474420025153</v>
      </c>
      <c r="Y21" s="130">
        <f t="shared" si="26"/>
        <v>34.09210871715481</v>
      </c>
      <c r="Z21" s="130">
        <f t="shared" si="27"/>
        <v>86.25645027947265</v>
      </c>
      <c r="AA21" s="130">
        <f t="shared" si="28"/>
        <v>92.74937785019067</v>
      </c>
      <c r="AB21" s="130">
        <f t="shared" si="29"/>
        <v>113.94725318782092</v>
      </c>
      <c r="AC21" s="133">
        <f t="shared" si="30"/>
        <v>55.43716678475109</v>
      </c>
      <c r="AE21" s="173" t="s">
        <v>107</v>
      </c>
      <c r="AF21" s="173">
        <v>8</v>
      </c>
    </row>
    <row r="22" spans="1:32" ht="12.75">
      <c r="A22" s="24">
        <v>7.5</v>
      </c>
      <c r="B22" s="135">
        <v>2</v>
      </c>
      <c r="C22" s="135">
        <v>150</v>
      </c>
      <c r="D22" s="136">
        <v>1</v>
      </c>
      <c r="E22" s="137">
        <f t="shared" si="31"/>
        <v>60.43798211197868</v>
      </c>
      <c r="F22" s="73">
        <f t="shared" si="32"/>
        <v>105.88971450393389</v>
      </c>
      <c r="G22" s="73">
        <f t="shared" si="33"/>
        <v>121.92367005422894</v>
      </c>
      <c r="H22" s="74">
        <f t="shared" si="34"/>
        <v>5.566878735814411</v>
      </c>
      <c r="I22" s="138">
        <f t="shared" si="35"/>
        <v>31.855532681705814</v>
      </c>
      <c r="J22" s="139">
        <f t="shared" si="36"/>
        <v>25.055481579159466</v>
      </c>
      <c r="K22" s="139">
        <f>IF(B22&gt;0,SQRT(I22^2+J22^2),"")</f>
        <v>40.52841126418387</v>
      </c>
      <c r="L22" s="140">
        <f t="shared" si="37"/>
        <v>3.7781047323295773</v>
      </c>
      <c r="N22" s="130">
        <f t="shared" si="0"/>
        <v>146.20938628158848</v>
      </c>
      <c r="O22" s="130">
        <f t="shared" si="22"/>
        <v>2.551835187933948</v>
      </c>
      <c r="P22" s="130">
        <f t="shared" si="1"/>
        <v>87.5042005227629</v>
      </c>
      <c r="Q22" s="130">
        <f t="shared" si="2"/>
        <v>2.746907464931997</v>
      </c>
      <c r="R22" s="131">
        <f t="shared" si="3"/>
        <v>68.82508938725928</v>
      </c>
      <c r="S22" s="130">
        <f t="shared" si="4"/>
        <v>148.41681528727423</v>
      </c>
      <c r="T22" s="130">
        <f t="shared" si="5"/>
        <v>86.29309736913926</v>
      </c>
      <c r="V22" s="132">
        <f t="shared" si="23"/>
        <v>68.20035918733863</v>
      </c>
      <c r="W22" s="130">
        <f t="shared" si="24"/>
        <v>53.58752292656409</v>
      </c>
      <c r="X22" s="130">
        <f aca="true" t="shared" si="38" ref="X22:X33">SQRT(V22^2+W22^2)</f>
        <v>86.73471973026163</v>
      </c>
      <c r="Y22" s="130">
        <f aca="true" t="shared" si="39" ref="Y22:Y33">$AF$4*($AF$4*V22-V22^2-W22^2)/(W22^2+($AF$4-V22)^2)</f>
        <v>60.43798211197868</v>
      </c>
      <c r="Z22" s="130">
        <f aca="true" t="shared" si="40" ref="Z22:Z33">$AF$4^2*W22/(W22^2+($AF$4-V22)^2)</f>
        <v>105.88971450393389</v>
      </c>
      <c r="AA22" s="130">
        <f aca="true" t="shared" si="41" ref="AA22:AA33">SQRT(Y22^2+Z22^2)</f>
        <v>121.92367005422894</v>
      </c>
      <c r="AB22" s="130">
        <f t="shared" si="29"/>
        <v>153.00058670047756</v>
      </c>
      <c r="AC22" s="133">
        <f t="shared" si="30"/>
        <v>106.40292810019194</v>
      </c>
      <c r="AE22" s="173"/>
      <c r="AF22" s="173">
        <v>16</v>
      </c>
    </row>
    <row r="23" spans="1:32" ht="12.75">
      <c r="A23" s="24">
        <v>8.5</v>
      </c>
      <c r="B23" s="135">
        <v>4</v>
      </c>
      <c r="C23" s="135">
        <v>150</v>
      </c>
      <c r="D23" s="136">
        <v>1</v>
      </c>
      <c r="E23" s="137">
        <f t="shared" si="31"/>
        <v>215.41445840574272</v>
      </c>
      <c r="F23" s="73">
        <f t="shared" si="32"/>
        <v>343.32023186778963</v>
      </c>
      <c r="G23" s="73">
        <f t="shared" si="33"/>
        <v>405.3050338942169</v>
      </c>
      <c r="H23" s="74">
        <f t="shared" si="34"/>
        <v>15.418986763193063</v>
      </c>
      <c r="I23" s="138">
        <f t="shared" si="35"/>
        <v>68.60785486751577</v>
      </c>
      <c r="J23" s="139">
        <f t="shared" si="36"/>
        <v>196.6936875104856</v>
      </c>
      <c r="K23" s="139">
        <f>IF(B23&gt;0,SQRT(I23^2+J23^2),"")</f>
        <v>208.3157326175694</v>
      </c>
      <c r="L23" s="140">
        <f t="shared" si="37"/>
        <v>7.053597687786401</v>
      </c>
      <c r="N23" s="130">
        <f t="shared" si="0"/>
        <v>165.7039711191336</v>
      </c>
      <c r="O23" s="130">
        <f t="shared" si="22"/>
        <v>2.8920798796584744</v>
      </c>
      <c r="P23" s="130">
        <f t="shared" si="1"/>
        <v>229.4023440560821</v>
      </c>
      <c r="Q23" s="130">
        <f t="shared" si="2"/>
        <v>3.3436746346182407</v>
      </c>
      <c r="R23" s="131">
        <f t="shared" si="3"/>
        <v>657.6796937183374</v>
      </c>
      <c r="S23" s="130">
        <f t="shared" si="4"/>
        <v>268.68505624832954</v>
      </c>
      <c r="T23" s="130">
        <f t="shared" si="5"/>
        <v>201.96082524885932</v>
      </c>
      <c r="V23" s="132">
        <f t="shared" si="23"/>
        <v>142.78785497811202</v>
      </c>
      <c r="W23" s="130">
        <f t="shared" si="24"/>
        <v>47.283108464615374</v>
      </c>
      <c r="X23" s="130">
        <f t="shared" si="38"/>
        <v>150.41297774901918</v>
      </c>
      <c r="Y23" s="130">
        <f t="shared" si="39"/>
        <v>215.41445840574272</v>
      </c>
      <c r="Z23" s="130">
        <f t="shared" si="40"/>
        <v>343.32023186778963</v>
      </c>
      <c r="AA23" s="130">
        <f t="shared" si="41"/>
        <v>405.3050338942169</v>
      </c>
      <c r="AB23" s="130">
        <f t="shared" si="29"/>
        <v>433.95116815209354</v>
      </c>
      <c r="AC23" s="133">
        <f t="shared" si="30"/>
        <v>381.0914911926243</v>
      </c>
      <c r="AE23" s="173"/>
      <c r="AF23" s="173">
        <v>17</v>
      </c>
    </row>
    <row r="24" spans="1:32" ht="12.75">
      <c r="A24" s="24">
        <v>9</v>
      </c>
      <c r="B24" s="135">
        <v>4.5</v>
      </c>
      <c r="C24" s="135">
        <v>70</v>
      </c>
      <c r="D24" s="136">
        <v>1</v>
      </c>
      <c r="E24" s="137">
        <f t="shared" si="31"/>
        <v>487.44270524250527</v>
      </c>
      <c r="F24" s="73">
        <f t="shared" si="32"/>
        <v>490.3467124760596</v>
      </c>
      <c r="G24" s="73">
        <f t="shared" si="33"/>
        <v>691.4045771689766</v>
      </c>
      <c r="H24" s="74">
        <f t="shared" si="34"/>
        <v>19.66594134463985</v>
      </c>
      <c r="I24" s="138">
        <f t="shared" si="35"/>
        <v>256.4328312298373</v>
      </c>
      <c r="J24" s="139">
        <f t="shared" si="36"/>
        <v>423.70139371330794</v>
      </c>
      <c r="K24" s="139">
        <f t="shared" si="20"/>
        <v>495.2581831400162</v>
      </c>
      <c r="L24" s="140">
        <f t="shared" si="37"/>
        <v>8.690000847844715</v>
      </c>
      <c r="N24" s="130">
        <f t="shared" si="0"/>
        <v>175.45126353790616</v>
      </c>
      <c r="O24" s="130">
        <f t="shared" si="22"/>
        <v>3.0622022255207373</v>
      </c>
      <c r="P24" s="130">
        <f t="shared" si="1"/>
        <v>490.5279342808538</v>
      </c>
      <c r="Q24" s="130">
        <f t="shared" si="2"/>
        <v>1.9128905293768732</v>
      </c>
      <c r="R24" s="131">
        <f t="shared" si="3"/>
        <v>810.4943833179686</v>
      </c>
      <c r="S24" s="130">
        <f t="shared" si="4"/>
        <v>563.0833986628625</v>
      </c>
      <c r="T24" s="130">
        <f t="shared" si="5"/>
        <v>446.8639251035582</v>
      </c>
      <c r="V24" s="132">
        <f t="shared" si="23"/>
        <v>161.43472892580536</v>
      </c>
      <c r="W24" s="130">
        <f t="shared" si="24"/>
        <v>27.508261768969565</v>
      </c>
      <c r="X24" s="130">
        <f t="shared" si="38"/>
        <v>163.76164437650962</v>
      </c>
      <c r="Y24" s="130">
        <f t="shared" si="39"/>
        <v>487.44270524250527</v>
      </c>
      <c r="Z24" s="130">
        <f t="shared" si="40"/>
        <v>490.3467124760596</v>
      </c>
      <c r="AA24" s="130">
        <f t="shared" si="41"/>
        <v>691.4045771689766</v>
      </c>
      <c r="AB24" s="130">
        <f t="shared" si="29"/>
        <v>727.519456684467</v>
      </c>
      <c r="AC24" s="133">
        <f t="shared" si="30"/>
        <v>657.1118769326581</v>
      </c>
      <c r="AE24" s="173"/>
      <c r="AF24" s="173">
        <v>25</v>
      </c>
    </row>
    <row r="25" spans="1:32" ht="12.75">
      <c r="A25" s="24">
        <v>9.12</v>
      </c>
      <c r="B25" s="135">
        <v>4.6</v>
      </c>
      <c r="C25" s="135">
        <v>50</v>
      </c>
      <c r="D25" s="136">
        <v>1</v>
      </c>
      <c r="E25" s="137">
        <f t="shared" si="31"/>
        <v>640.5578457091219</v>
      </c>
      <c r="F25" s="73">
        <f t="shared" si="32"/>
        <v>508.55224265230976</v>
      </c>
      <c r="G25" s="73">
        <f t="shared" si="33"/>
        <v>817.8873621753823</v>
      </c>
      <c r="H25" s="74">
        <f t="shared" si="34"/>
        <v>20.916409310408852</v>
      </c>
      <c r="I25" s="138">
        <f t="shared" si="35"/>
        <v>452.10215663124256</v>
      </c>
      <c r="J25" s="139">
        <f t="shared" si="36"/>
        <v>513.6974893113401</v>
      </c>
      <c r="K25" s="139">
        <f t="shared" si="20"/>
        <v>684.3109458100133</v>
      </c>
      <c r="L25" s="140">
        <f t="shared" si="37"/>
        <v>9.19598735883476</v>
      </c>
      <c r="N25" s="130">
        <f t="shared" si="0"/>
        <v>177.79061371841155</v>
      </c>
      <c r="O25" s="130">
        <f t="shared" si="22"/>
        <v>3.10303158852768</v>
      </c>
      <c r="P25" s="130">
        <f t="shared" si="1"/>
        <v>641.5112718682127</v>
      </c>
      <c r="Q25" s="130">
        <f t="shared" si="2"/>
        <v>1.4189520276751562</v>
      </c>
      <c r="R25" s="131">
        <f t="shared" si="3"/>
        <v>728.9120940699629</v>
      </c>
      <c r="S25" s="130">
        <f t="shared" si="4"/>
        <v>764.7516080636769</v>
      </c>
      <c r="T25" s="130">
        <f t="shared" si="5"/>
        <v>614.7412988804227</v>
      </c>
      <c r="V25" s="132">
        <f t="shared" si="23"/>
        <v>165.16410371534403</v>
      </c>
      <c r="W25" s="130">
        <f t="shared" si="24"/>
        <v>21.076328382158362</v>
      </c>
      <c r="X25" s="130">
        <f t="shared" si="38"/>
        <v>166.50343171888528</v>
      </c>
      <c r="Y25" s="130">
        <f t="shared" si="39"/>
        <v>640.5578457091219</v>
      </c>
      <c r="Z25" s="130">
        <f t="shared" si="40"/>
        <v>508.55224265230976</v>
      </c>
      <c r="AA25" s="130">
        <f t="shared" si="41"/>
        <v>817.8873621753823</v>
      </c>
      <c r="AB25" s="130">
        <f t="shared" si="29"/>
        <v>857.6103554511905</v>
      </c>
      <c r="AC25" s="133">
        <f t="shared" si="30"/>
        <v>779.3484154313094</v>
      </c>
      <c r="AE25" s="173"/>
      <c r="AF25" s="173">
        <v>26</v>
      </c>
    </row>
    <row r="26" spans="1:29" ht="12.75">
      <c r="A26" s="24">
        <v>10</v>
      </c>
      <c r="B26" s="135">
        <v>5.4</v>
      </c>
      <c r="C26" s="135">
        <v>-125</v>
      </c>
      <c r="D26" s="136">
        <v>0</v>
      </c>
      <c r="E26" s="137">
        <f t="shared" si="31"/>
        <v>194.99910203165342</v>
      </c>
      <c r="F26" s="73">
        <f t="shared" si="32"/>
        <v>-200.95321097461533</v>
      </c>
      <c r="G26" s="73">
        <f t="shared" si="33"/>
        <v>280.0122190086701</v>
      </c>
      <c r="H26" s="74">
        <f t="shared" si="34"/>
        <v>8.175864713790347</v>
      </c>
      <c r="I26" s="138">
        <f t="shared" si="35"/>
        <v>88.35715042072812</v>
      </c>
      <c r="J26" s="139">
        <f t="shared" si="36"/>
        <v>-143.38487333554744</v>
      </c>
      <c r="K26" s="139">
        <f t="shared" si="20"/>
        <v>168.4227061055669</v>
      </c>
      <c r="L26" s="140">
        <f t="shared" si="37"/>
        <v>3.8402302102961996</v>
      </c>
      <c r="N26" s="130">
        <f t="shared" si="0"/>
        <v>194.94584837545128</v>
      </c>
      <c r="O26" s="130">
        <f t="shared" si="22"/>
        <v>3.4024469172452636</v>
      </c>
      <c r="P26" s="130">
        <f t="shared" si="1"/>
        <v>208.89377820441558</v>
      </c>
      <c r="Q26" s="130">
        <f t="shared" si="2"/>
        <v>2.3641977724466114</v>
      </c>
      <c r="R26" s="131">
        <f t="shared" si="3"/>
        <v>-338.9901981424408</v>
      </c>
      <c r="S26" s="130">
        <f t="shared" si="4"/>
        <v>248.35919447654032</v>
      </c>
      <c r="T26" s="130">
        <f t="shared" si="5"/>
        <v>145.73630933019854</v>
      </c>
      <c r="V26" s="132">
        <f t="shared" si="23"/>
        <v>194.99910203165342</v>
      </c>
      <c r="W26" s="130">
        <f t="shared" si="24"/>
        <v>-200.95321097461533</v>
      </c>
      <c r="X26" s="130">
        <f t="shared" si="38"/>
        <v>280.0122190086701</v>
      </c>
      <c r="Y26" s="130">
        <f t="shared" si="39"/>
        <v>-195.0494983833462</v>
      </c>
      <c r="Z26" s="130">
        <f t="shared" si="40"/>
        <v>-198.9281129305901</v>
      </c>
      <c r="AA26" s="130">
        <f t="shared" si="41"/>
        <v>278.5977403600406</v>
      </c>
      <c r="AB26" s="130">
        <f t="shared" si="29"/>
        <v>316.87024631120664</v>
      </c>
      <c r="AC26" s="133">
        <f t="shared" si="30"/>
        <v>247.80422230259535</v>
      </c>
    </row>
    <row r="27" spans="1:29" ht="12.75">
      <c r="A27" s="24">
        <v>10.1</v>
      </c>
      <c r="B27" s="135">
        <v>5.1</v>
      </c>
      <c r="C27" s="135">
        <v>-125</v>
      </c>
      <c r="D27" s="136">
        <v>0</v>
      </c>
      <c r="E27" s="137">
        <f t="shared" si="31"/>
        <v>183.81097766303736</v>
      </c>
      <c r="F27" s="73">
        <f t="shared" si="32"/>
        <v>-198.96357522239143</v>
      </c>
      <c r="G27" s="73">
        <f t="shared" si="33"/>
        <v>270.874472357064</v>
      </c>
      <c r="H27" s="74">
        <f t="shared" si="34"/>
        <v>8.132581717694377</v>
      </c>
      <c r="I27" s="138">
        <f t="shared" si="35"/>
        <v>78.02437064926478</v>
      </c>
      <c r="J27" s="139">
        <f t="shared" si="36"/>
        <v>-132.3690448285234</v>
      </c>
      <c r="K27" s="139">
        <f t="shared" si="20"/>
        <v>153.65339711190734</v>
      </c>
      <c r="L27" s="140">
        <f t="shared" si="37"/>
        <v>3.8512466455335534</v>
      </c>
      <c r="N27" s="130">
        <f t="shared" si="0"/>
        <v>196.8953068592058</v>
      </c>
      <c r="O27" s="130">
        <f t="shared" si="22"/>
        <v>3.436471386417716</v>
      </c>
      <c r="P27" s="130">
        <f t="shared" si="1"/>
        <v>200.7683118434065</v>
      </c>
      <c r="Q27" s="130">
        <f t="shared" si="2"/>
        <v>2.5731487504833637</v>
      </c>
      <c r="R27" s="131">
        <f t="shared" si="3"/>
        <v>-340.6052423031914</v>
      </c>
      <c r="S27" s="130">
        <f t="shared" si="4"/>
        <v>233.58224597685862</v>
      </c>
      <c r="T27" s="130">
        <f t="shared" si="5"/>
        <v>137.2844227392324</v>
      </c>
      <c r="V27" s="132">
        <f t="shared" si="23"/>
        <v>183.81097766303736</v>
      </c>
      <c r="W27" s="130">
        <f t="shared" si="24"/>
        <v>-198.96357522239143</v>
      </c>
      <c r="X27" s="130">
        <f t="shared" si="38"/>
        <v>270.874472357064</v>
      </c>
      <c r="Y27" s="130">
        <f t="shared" si="39"/>
        <v>-183.7494648003913</v>
      </c>
      <c r="Z27" s="130">
        <f t="shared" si="40"/>
        <v>-199.71957016881112</v>
      </c>
      <c r="AA27" s="130">
        <f t="shared" si="41"/>
        <v>271.38860057645184</v>
      </c>
      <c r="AB27" s="130">
        <f t="shared" si="29"/>
        <v>307.0082694994087</v>
      </c>
      <c r="AC27" s="133">
        <f t="shared" si="30"/>
        <v>239.7746483855499</v>
      </c>
    </row>
    <row r="28" spans="1:29" ht="12.75">
      <c r="A28" s="24">
        <v>11</v>
      </c>
      <c r="B28" s="135">
        <v>1.8</v>
      </c>
      <c r="C28" s="135">
        <v>-100</v>
      </c>
      <c r="D28" s="136">
        <v>0</v>
      </c>
      <c r="E28" s="137">
        <f t="shared" si="31"/>
        <v>60.74160960826131</v>
      </c>
      <c r="F28" s="73">
        <f t="shared" si="32"/>
        <v>-100.47660548730765</v>
      </c>
      <c r="G28" s="73">
        <f t="shared" si="33"/>
        <v>117.4099288308041</v>
      </c>
      <c r="H28" s="74">
        <f t="shared" si="34"/>
        <v>5.168611994777492</v>
      </c>
      <c r="I28" s="138">
        <f t="shared" si="35"/>
        <v>33.08462914245949</v>
      </c>
      <c r="J28" s="139">
        <f t="shared" si="36"/>
        <v>-21.251977385743636</v>
      </c>
      <c r="K28" s="139">
        <f t="shared" si="20"/>
        <v>39.322248515290156</v>
      </c>
      <c r="L28" s="140">
        <f t="shared" si="37"/>
        <v>3.5884892084047157</v>
      </c>
      <c r="N28" s="130">
        <f t="shared" si="0"/>
        <v>214.4404332129964</v>
      </c>
      <c r="O28" s="130">
        <f t="shared" si="22"/>
        <v>3.74269160896979</v>
      </c>
      <c r="P28" s="130">
        <f t="shared" si="1"/>
        <v>89.30564891233071</v>
      </c>
      <c r="Q28" s="130">
        <f t="shared" si="2"/>
        <v>2.699309353832817</v>
      </c>
      <c r="R28" s="131">
        <f t="shared" si="3"/>
        <v>-57.365661344781294</v>
      </c>
      <c r="S28" s="130">
        <f t="shared" si="4"/>
        <v>149.03869244843543</v>
      </c>
      <c r="T28" s="130">
        <f t="shared" si="5"/>
        <v>84.07670357617573</v>
      </c>
      <c r="V28" s="132">
        <f t="shared" si="23"/>
        <v>60.74160960826131</v>
      </c>
      <c r="W28" s="130">
        <f t="shared" si="24"/>
        <v>-100.47660548730765</v>
      </c>
      <c r="X28" s="130">
        <f t="shared" si="38"/>
        <v>117.4099288308041</v>
      </c>
      <c r="Y28" s="130">
        <f t="shared" si="39"/>
        <v>-11.101089427772402</v>
      </c>
      <c r="Z28" s="130">
        <f t="shared" si="40"/>
        <v>-136.29283852238092</v>
      </c>
      <c r="AA28" s="130">
        <f t="shared" si="41"/>
        <v>136.74418458922193</v>
      </c>
      <c r="AB28" s="130">
        <f t="shared" si="29"/>
        <v>149.5301051590636</v>
      </c>
      <c r="AC28" s="133">
        <f t="shared" si="30"/>
        <v>101.04914857250581</v>
      </c>
    </row>
    <row r="29" spans="1:29" ht="12.75">
      <c r="A29" s="24">
        <v>12</v>
      </c>
      <c r="B29" s="135">
        <v>1.3</v>
      </c>
      <c r="C29" s="135">
        <v>-75</v>
      </c>
      <c r="D29" s="136">
        <v>0</v>
      </c>
      <c r="E29" s="137">
        <f t="shared" si="31"/>
        <v>42.094735660567956</v>
      </c>
      <c r="F29" s="73">
        <f t="shared" si="32"/>
        <v>-52.63060287430402</v>
      </c>
      <c r="G29" s="73">
        <f t="shared" si="33"/>
        <v>67.39396953174511</v>
      </c>
      <c r="H29" s="74">
        <f t="shared" si="34"/>
        <v>3.0139735001532593</v>
      </c>
      <c r="I29" s="138">
        <f t="shared" si="35"/>
        <v>41.63828431432574</v>
      </c>
      <c r="J29" s="139">
        <f t="shared" si="36"/>
        <v>51.15624217170674</v>
      </c>
      <c r="K29" s="139">
        <f t="shared" si="20"/>
        <v>65.95989564705914</v>
      </c>
      <c r="L29" s="140">
        <f t="shared" si="37"/>
        <v>3.364068911982892</v>
      </c>
      <c r="N29" s="130">
        <f t="shared" si="0"/>
        <v>233.93501805054157</v>
      </c>
      <c r="O29" s="130">
        <f t="shared" si="22"/>
        <v>4.082936300694317</v>
      </c>
      <c r="P29" s="130">
        <f t="shared" si="1"/>
        <v>121.46080207639703</v>
      </c>
      <c r="Q29" s="130">
        <f t="shared" si="2"/>
        <v>2.917046273076343</v>
      </c>
      <c r="R29" s="131">
        <f t="shared" si="3"/>
        <v>149.225125571568</v>
      </c>
      <c r="S29" s="130">
        <f t="shared" si="4"/>
        <v>164.23948520564423</v>
      </c>
      <c r="T29" s="130">
        <f t="shared" si="5"/>
        <v>88.97051557288968</v>
      </c>
      <c r="V29" s="132">
        <f t="shared" si="23"/>
        <v>42.094735660567956</v>
      </c>
      <c r="W29" s="130">
        <f t="shared" si="24"/>
        <v>-52.63060287430402</v>
      </c>
      <c r="X29" s="130">
        <f t="shared" si="38"/>
        <v>67.39396953174511</v>
      </c>
      <c r="Y29" s="130">
        <f t="shared" si="39"/>
        <v>27.98868470080937</v>
      </c>
      <c r="Z29" s="130">
        <f t="shared" si="40"/>
        <v>-75.98975230192359</v>
      </c>
      <c r="AA29" s="130">
        <f t="shared" si="41"/>
        <v>80.98029961780225</v>
      </c>
      <c r="AB29" s="130">
        <f t="shared" si="29"/>
        <v>106.07271418844049</v>
      </c>
      <c r="AC29" s="133">
        <f t="shared" si="30"/>
        <v>53.22098799523543</v>
      </c>
    </row>
    <row r="30" spans="1:29" ht="12.75">
      <c r="A30" s="24">
        <v>13</v>
      </c>
      <c r="B30" s="135">
        <v>1.5</v>
      </c>
      <c r="C30" s="135">
        <v>50</v>
      </c>
      <c r="D30" s="136">
        <v>0</v>
      </c>
      <c r="E30" s="137">
        <f t="shared" si="31"/>
        <v>49.55348523964529</v>
      </c>
      <c r="F30" s="73">
        <f t="shared" si="32"/>
        <v>14.785854988098786</v>
      </c>
      <c r="G30" s="73">
        <f t="shared" si="33"/>
        <v>51.71237189614135</v>
      </c>
      <c r="H30" s="74">
        <f t="shared" si="34"/>
        <v>1.3446032389391043</v>
      </c>
      <c r="I30" s="138">
        <f t="shared" si="35"/>
        <v>249.88379461238551</v>
      </c>
      <c r="J30" s="139">
        <f t="shared" si="36"/>
        <v>63.089511714293295</v>
      </c>
      <c r="K30" s="139">
        <f t="shared" si="20"/>
        <v>257.7250420472035</v>
      </c>
      <c r="L30" s="140">
        <f t="shared" si="37"/>
        <v>2.3564784986680665</v>
      </c>
      <c r="N30" s="130">
        <f t="shared" si="0"/>
        <v>253.4296028880867</v>
      </c>
      <c r="O30" s="130">
        <f t="shared" si="22"/>
        <v>4.423180992418843</v>
      </c>
      <c r="P30" s="130">
        <f t="shared" si="1"/>
        <v>609.250491827838</v>
      </c>
      <c r="Q30" s="130">
        <f t="shared" si="2"/>
        <v>2.438135265125514</v>
      </c>
      <c r="R30" s="131">
        <f t="shared" si="3"/>
        <v>153.8207633701677</v>
      </c>
      <c r="S30" s="130">
        <f t="shared" si="4"/>
        <v>369.737226251872</v>
      </c>
      <c r="T30" s="130">
        <f t="shared" si="5"/>
        <v>149.4246418580838</v>
      </c>
      <c r="V30" s="132">
        <f t="shared" si="23"/>
        <v>49.55348523964529</v>
      </c>
      <c r="W30" s="130">
        <f t="shared" si="24"/>
        <v>14.785854988098786</v>
      </c>
      <c r="X30" s="130">
        <f t="shared" si="38"/>
        <v>51.71237189614135</v>
      </c>
      <c r="Y30" s="130">
        <f t="shared" si="39"/>
        <v>63.331718290132805</v>
      </c>
      <c r="Z30" s="130">
        <f t="shared" si="40"/>
        <v>25.88019141956761</v>
      </c>
      <c r="AA30" s="130">
        <f t="shared" si="41"/>
        <v>68.4155746120297</v>
      </c>
      <c r="AB30" s="130">
        <f t="shared" si="29"/>
        <v>100.64550626376399</v>
      </c>
      <c r="AC30" s="133">
        <f t="shared" si="30"/>
        <v>14.792595551839453</v>
      </c>
    </row>
    <row r="31" spans="1:29" ht="12.75">
      <c r="A31" s="24">
        <v>13.65</v>
      </c>
      <c r="B31" s="135">
        <v>4.1</v>
      </c>
      <c r="C31" s="135">
        <v>120</v>
      </c>
      <c r="D31" s="136">
        <v>0</v>
      </c>
      <c r="E31" s="137">
        <f t="shared" si="31"/>
        <v>146.5172297676507</v>
      </c>
      <c r="F31" s="73">
        <f t="shared" si="32"/>
        <v>25.910450645811206</v>
      </c>
      <c r="G31" s="73">
        <f t="shared" si="33"/>
        <v>148.7906249447712</v>
      </c>
      <c r="H31" s="74">
        <f t="shared" si="34"/>
        <v>3.0336014989427342</v>
      </c>
      <c r="I31" s="138">
        <f t="shared" si="35"/>
        <v>88.43536872789791</v>
      </c>
      <c r="J31" s="139">
        <f t="shared" si="36"/>
        <v>-18.730753454997203</v>
      </c>
      <c r="K31" s="139">
        <f t="shared" si="20"/>
        <v>90.39720995158619</v>
      </c>
      <c r="L31" s="140">
        <f t="shared" si="37"/>
        <v>1.3732445145862937</v>
      </c>
      <c r="N31" s="130">
        <f t="shared" si="0"/>
        <v>266.101083032491</v>
      </c>
      <c r="O31" s="130">
        <f t="shared" si="22"/>
        <v>4.644340042039785</v>
      </c>
      <c r="P31" s="130">
        <f t="shared" si="1"/>
        <v>31689.577619718657</v>
      </c>
      <c r="Q31" s="130">
        <f t="shared" si="2"/>
        <v>358.33601505323776</v>
      </c>
      <c r="R31" s="131">
        <f t="shared" si="3"/>
        <v>-6711.903552008363</v>
      </c>
      <c r="S31" s="130">
        <f t="shared" si="4"/>
        <v>203.7293261347798</v>
      </c>
      <c r="T31" s="130">
        <f t="shared" si="5"/>
        <v>32.040884524460445</v>
      </c>
      <c r="V31" s="132">
        <f t="shared" si="23"/>
        <v>146.5172297676507</v>
      </c>
      <c r="W31" s="130">
        <f t="shared" si="24"/>
        <v>25.910450645811206</v>
      </c>
      <c r="X31" s="130">
        <f t="shared" si="38"/>
        <v>148.7906249447712</v>
      </c>
      <c r="Y31" s="130">
        <f t="shared" si="39"/>
        <v>405.7353617416407</v>
      </c>
      <c r="Z31" s="130">
        <f t="shared" si="40"/>
        <v>293.45668009800016</v>
      </c>
      <c r="AA31" s="130">
        <f t="shared" si="41"/>
        <v>500.73746301006884</v>
      </c>
      <c r="AB31" s="130">
        <f t="shared" si="29"/>
        <v>198.21799375490772</v>
      </c>
      <c r="AC31" s="133">
        <f t="shared" si="30"/>
        <v>99.93461409687083</v>
      </c>
    </row>
    <row r="32" spans="1:29" ht="12.75">
      <c r="A32" s="24">
        <v>13.73</v>
      </c>
      <c r="B32" s="135">
        <v>4.25</v>
      </c>
      <c r="C32" s="135">
        <v>0</v>
      </c>
      <c r="D32" s="136">
        <v>0</v>
      </c>
      <c r="E32" s="137">
        <f t="shared" si="31"/>
        <v>152.1112919519587</v>
      </c>
      <c r="F32" s="73">
        <f t="shared" si="32"/>
        <v>0</v>
      </c>
      <c r="G32" s="73">
        <f t="shared" si="33"/>
        <v>152.1112919519587</v>
      </c>
      <c r="H32" s="74">
        <f t="shared" si="34"/>
        <v>3.042225839039174</v>
      </c>
      <c r="I32" s="138">
        <f t="shared" si="35"/>
        <v>86.14711893712376</v>
      </c>
      <c r="J32" s="139">
        <f t="shared" si="36"/>
        <v>-2.027237828512763</v>
      </c>
      <c r="K32" s="139">
        <f t="shared" si="20"/>
        <v>86.17096839644023</v>
      </c>
      <c r="L32" s="140">
        <f t="shared" si="37"/>
        <v>1.3292829891719695</v>
      </c>
      <c r="N32" s="130">
        <f t="shared" si="0"/>
        <v>267.6606498194946</v>
      </c>
      <c r="O32" s="130">
        <f t="shared" si="22"/>
        <v>4.671559617377747</v>
      </c>
      <c r="P32" s="130">
        <f t="shared" si="1"/>
        <v>91297.22724612852</v>
      </c>
      <c r="Q32" s="130">
        <f t="shared" si="2"/>
        <v>1059.7827109315597</v>
      </c>
      <c r="R32" s="131">
        <f t="shared" si="3"/>
        <v>-2148.431601604264</v>
      </c>
      <c r="S32" s="130">
        <f t="shared" si="4"/>
        <v>200.58844620666017</v>
      </c>
      <c r="T32" s="130">
        <f t="shared" si="5"/>
        <v>28.35652149924897</v>
      </c>
      <c r="V32" s="132">
        <f t="shared" si="23"/>
        <v>152.1112919519587</v>
      </c>
      <c r="W32" s="130">
        <f t="shared" si="24"/>
        <v>0</v>
      </c>
      <c r="X32" s="130">
        <f t="shared" si="38"/>
        <v>152.1112919519587</v>
      </c>
      <c r="Y32" s="130">
        <f t="shared" si="39"/>
        <v>635.2699755414687</v>
      </c>
      <c r="Z32" s="130">
        <f t="shared" si="40"/>
        <v>0</v>
      </c>
      <c r="AA32" s="130">
        <f t="shared" si="41"/>
        <v>635.2699755414687</v>
      </c>
      <c r="AB32" s="130">
        <f t="shared" si="29"/>
        <v>202.1112919519587</v>
      </c>
      <c r="AC32" s="133">
        <f t="shared" si="30"/>
        <v>102.11129195195869</v>
      </c>
    </row>
    <row r="33" spans="1:29" ht="12.75">
      <c r="A33" s="24">
        <v>13.82</v>
      </c>
      <c r="B33" s="135">
        <v>4</v>
      </c>
      <c r="C33" s="135">
        <v>-50</v>
      </c>
      <c r="D33" s="136">
        <v>0</v>
      </c>
      <c r="E33" s="137">
        <f t="shared" si="31"/>
        <v>142.78785497811202</v>
      </c>
      <c r="F33" s="73">
        <f t="shared" si="32"/>
        <v>-24.607428706676703</v>
      </c>
      <c r="G33" s="73">
        <f t="shared" si="33"/>
        <v>144.89270884625122</v>
      </c>
      <c r="H33" s="74">
        <f t="shared" si="34"/>
        <v>2.9519867412894674</v>
      </c>
      <c r="I33" s="138">
        <f t="shared" si="35"/>
        <v>88.82101623983064</v>
      </c>
      <c r="J33" s="139">
        <f t="shared" si="36"/>
        <v>14.865545591136565</v>
      </c>
      <c r="K33" s="139">
        <f t="shared" si="20"/>
        <v>90.05641216259073</v>
      </c>
      <c r="L33" s="140">
        <f t="shared" si="37"/>
        <v>1.3400078269488855</v>
      </c>
      <c r="N33" s="130">
        <f t="shared" si="0"/>
        <v>269.41516245487367</v>
      </c>
      <c r="O33" s="130">
        <f t="shared" si="22"/>
        <v>4.702181639632954</v>
      </c>
      <c r="P33" s="130">
        <f t="shared" si="1"/>
        <v>1370506.584498046</v>
      </c>
      <c r="Q33" s="130">
        <f t="shared" si="2"/>
        <v>15429.980904490709</v>
      </c>
      <c r="R33" s="131">
        <f t="shared" si="3"/>
        <v>229375.08460607324</v>
      </c>
      <c r="S33" s="130">
        <f t="shared" si="4"/>
        <v>203.79499566163767</v>
      </c>
      <c r="T33" s="130">
        <f t="shared" si="5"/>
        <v>29.611821302461205</v>
      </c>
      <c r="V33" s="132">
        <f t="shared" si="23"/>
        <v>142.78785497811202</v>
      </c>
      <c r="W33" s="130">
        <f t="shared" si="24"/>
        <v>-24.607428706676703</v>
      </c>
      <c r="X33" s="130">
        <f t="shared" si="38"/>
        <v>144.89270884625122</v>
      </c>
      <c r="Y33" s="130">
        <f t="shared" si="39"/>
        <v>390.00523373990825</v>
      </c>
      <c r="Z33" s="130">
        <f t="shared" si="40"/>
        <v>-253.76625400544737</v>
      </c>
      <c r="AA33" s="130">
        <f t="shared" si="41"/>
        <v>465.2971029530247</v>
      </c>
      <c r="AB33" s="130">
        <f t="shared" si="29"/>
        <v>194.3519554175253</v>
      </c>
      <c r="AC33" s="133">
        <f t="shared" si="30"/>
        <v>95.99537269573635</v>
      </c>
    </row>
    <row r="34" spans="1:29" ht="12.75">
      <c r="A34" s="24">
        <v>14</v>
      </c>
      <c r="B34" s="135">
        <v>2.9</v>
      </c>
      <c r="C34" s="135">
        <v>-70</v>
      </c>
      <c r="D34" s="136">
        <v>0</v>
      </c>
      <c r="E34" s="137">
        <f t="shared" si="31"/>
        <v>101.76473229318665</v>
      </c>
      <c r="F34" s="73">
        <f t="shared" si="32"/>
        <v>-40.190642194923065</v>
      </c>
      <c r="G34" s="73">
        <f t="shared" si="33"/>
        <v>109.41365755125946</v>
      </c>
      <c r="H34" s="74">
        <f t="shared" si="34"/>
        <v>2.433077127185373</v>
      </c>
      <c r="I34" s="138">
        <f t="shared" si="35"/>
        <v>115.81754575135513</v>
      </c>
      <c r="J34" s="139">
        <f t="shared" si="36"/>
        <v>44.933436874320954</v>
      </c>
      <c r="K34" s="139">
        <f t="shared" si="20"/>
        <v>124.22848970025284</v>
      </c>
      <c r="L34" s="140">
        <f t="shared" si="37"/>
        <v>1.4741138128270759</v>
      </c>
      <c r="N34" s="130">
        <f t="shared" si="0"/>
        <v>272.9241877256318</v>
      </c>
      <c r="O34" s="130">
        <f t="shared" si="22"/>
        <v>4.763425684143369</v>
      </c>
      <c r="P34" s="130">
        <f t="shared" si="1"/>
        <v>39102.91805933092</v>
      </c>
      <c r="Q34" s="130">
        <f t="shared" si="2"/>
        <v>337.6251655623897</v>
      </c>
      <c r="R34" s="131">
        <f t="shared" si="3"/>
        <v>15170.6590639798</v>
      </c>
      <c r="S34" s="130">
        <f t="shared" si="4"/>
        <v>234.5920816060434</v>
      </c>
      <c r="T34" s="130">
        <f t="shared" si="5"/>
        <v>44.9548220832214</v>
      </c>
      <c r="V34" s="132">
        <f aca="true" t="shared" si="42" ref="V34:V41">B34*$AF$2+$AF$3</f>
        <v>101.76473229318665</v>
      </c>
      <c r="W34" s="130">
        <f aca="true" t="shared" si="43" ref="W34:W41">1000000/2/PI()/180*C34/A34/(C34+180)</f>
        <v>-40.190642194923065</v>
      </c>
      <c r="X34" s="130">
        <f aca="true" t="shared" si="44" ref="X34:X41">SQRT(V34^2+W34^2)</f>
        <v>109.41365755125946</v>
      </c>
      <c r="Y34" s="130">
        <f aca="true" t="shared" si="45" ref="Y34:Y41">$AF$4*($AF$4*V34-V34^2-W34^2)/(W34^2+($AF$4-V34)^2)</f>
        <v>148.80175895309864</v>
      </c>
      <c r="Z34" s="130">
        <f aca="true" t="shared" si="46" ref="Z34:Z41">$AF$4^2*W34/(W34^2+($AF$4-V34)^2)</f>
        <v>-142.70401067041118</v>
      </c>
      <c r="AA34" s="130">
        <f aca="true" t="shared" si="47" ref="AA34:AA41">SQRT(Y34^2+Z34^2)</f>
        <v>206.17079843895667</v>
      </c>
      <c r="AB34" s="130">
        <f t="shared" si="29"/>
        <v>156.9962473693653</v>
      </c>
      <c r="AC34" s="133">
        <f t="shared" si="30"/>
        <v>65.53529758401659</v>
      </c>
    </row>
    <row r="35" spans="1:29" ht="12.75">
      <c r="A35" s="24">
        <v>14.1</v>
      </c>
      <c r="B35" s="135">
        <v>2.4</v>
      </c>
      <c r="C35" s="135">
        <v>-60</v>
      </c>
      <c r="D35" s="136">
        <v>0</v>
      </c>
      <c r="E35" s="137">
        <f t="shared" si="31"/>
        <v>83.1178583454933</v>
      </c>
      <c r="F35" s="73">
        <f t="shared" si="32"/>
        <v>-31.354401712351326</v>
      </c>
      <c r="G35" s="73">
        <f t="shared" si="33"/>
        <v>88.8351106414631</v>
      </c>
      <c r="H35" s="74">
        <f t="shared" si="34"/>
        <v>2.000623816971576</v>
      </c>
      <c r="I35" s="138">
        <f t="shared" si="35"/>
        <v>148.6501533501154</v>
      </c>
      <c r="J35" s="139">
        <f t="shared" si="36"/>
        <v>48.38221194719184</v>
      </c>
      <c r="K35" s="139">
        <f t="shared" si="20"/>
        <v>156.3256425667773</v>
      </c>
      <c r="L35" s="140">
        <f t="shared" si="37"/>
        <v>1.569173460813708</v>
      </c>
      <c r="N35" s="130">
        <f t="shared" si="0"/>
        <v>274.8736462093864</v>
      </c>
      <c r="O35" s="130">
        <f t="shared" si="22"/>
        <v>4.797450153315823</v>
      </c>
      <c r="P35" s="130">
        <f t="shared" si="1"/>
        <v>11515.4070736561</v>
      </c>
      <c r="Q35" s="130">
        <f t="shared" si="2"/>
        <v>77.46649979252888</v>
      </c>
      <c r="R35" s="131">
        <f t="shared" si="3"/>
        <v>3748.000611769225</v>
      </c>
      <c r="S35" s="130">
        <f t="shared" si="4"/>
        <v>267.49313132843446</v>
      </c>
      <c r="T35" s="130">
        <f t="shared" si="5"/>
        <v>59.260300491302814</v>
      </c>
      <c r="V35" s="132">
        <f t="shared" si="42"/>
        <v>83.1178583454933</v>
      </c>
      <c r="W35" s="130">
        <f t="shared" si="43"/>
        <v>-31.354401712351326</v>
      </c>
      <c r="X35" s="130">
        <f t="shared" si="44"/>
        <v>88.8351106414631</v>
      </c>
      <c r="Y35" s="130">
        <f t="shared" si="45"/>
        <v>119.25125180524189</v>
      </c>
      <c r="Z35" s="130">
        <f t="shared" si="46"/>
        <v>-85.64124385965701</v>
      </c>
      <c r="AA35" s="130">
        <f t="shared" si="47"/>
        <v>146.81717783333954</v>
      </c>
      <c r="AB35" s="130">
        <f t="shared" si="29"/>
        <v>136.76060367382968</v>
      </c>
      <c r="AC35" s="133">
        <f t="shared" si="30"/>
        <v>45.60582252445032</v>
      </c>
    </row>
    <row r="36" spans="1:29" ht="12.75">
      <c r="A36" s="24">
        <v>14.2</v>
      </c>
      <c r="B36" s="135">
        <v>2</v>
      </c>
      <c r="C36" s="135">
        <v>-50</v>
      </c>
      <c r="D36" s="136">
        <v>0</v>
      </c>
      <c r="E36" s="137">
        <f t="shared" si="31"/>
        <v>68.20035918733863</v>
      </c>
      <c r="F36" s="73">
        <f t="shared" si="32"/>
        <v>-23.948920051145922</v>
      </c>
      <c r="G36" s="73">
        <f t="shared" si="33"/>
        <v>72.28305309613162</v>
      </c>
      <c r="H36" s="74">
        <f t="shared" si="34"/>
        <v>1.6645875609374186</v>
      </c>
      <c r="I36" s="138">
        <f t="shared" si="35"/>
        <v>190.4412716320322</v>
      </c>
      <c r="J36" s="139">
        <f t="shared" si="36"/>
        <v>42.33341997041753</v>
      </c>
      <c r="K36" s="139">
        <f t="shared" si="20"/>
        <v>195.08971368890062</v>
      </c>
      <c r="L36" s="140">
        <f t="shared" si="37"/>
        <v>1.7881009959342309</v>
      </c>
      <c r="N36" s="130">
        <f t="shared" si="0"/>
        <v>276.8231046931408</v>
      </c>
      <c r="O36" s="130">
        <f t="shared" si="22"/>
        <v>4.831474622488274</v>
      </c>
      <c r="P36" s="130">
        <f aca="true" t="shared" si="48" ref="P36:P63">E36*(1+TAN(O36)^2)</f>
        <v>4831.942909716537</v>
      </c>
      <c r="Q36" s="130">
        <f aca="true" t="shared" si="49" ref="Q36:Q64">(1-F36*TAN(O36)/$AF$6)^2+(E36*TAN(O36)/$AF$6)^2</f>
        <v>25.372351635273393</v>
      </c>
      <c r="R36" s="131">
        <f aca="true" t="shared" si="50" ref="R36:R64">(F36*(1-TAN(O36)^2))+(($AF$6-(E36^2+F36^2)/$AF$6)*TAN(O36))</f>
        <v>1074.0984174131386</v>
      </c>
      <c r="S36" s="130">
        <f t="shared" si="4"/>
        <v>307.7974512787306</v>
      </c>
      <c r="T36" s="130">
        <f t="shared" si="5"/>
        <v>87.00383460015365</v>
      </c>
      <c r="V36" s="132">
        <f t="shared" si="42"/>
        <v>68.20035918733863</v>
      </c>
      <c r="W36" s="130">
        <f t="shared" si="43"/>
        <v>-23.948920051145922</v>
      </c>
      <c r="X36" s="130">
        <f t="shared" si="44"/>
        <v>72.28305309613162</v>
      </c>
      <c r="Y36" s="130">
        <f t="shared" si="45"/>
        <v>93.79074496866575</v>
      </c>
      <c r="Z36" s="130">
        <f t="shared" si="46"/>
        <v>-53.38384095463531</v>
      </c>
      <c r="AA36" s="130">
        <f t="shared" si="47"/>
        <v>107.91912859566231</v>
      </c>
      <c r="AB36" s="130">
        <f t="shared" si="29"/>
        <v>120.60213797289022</v>
      </c>
      <c r="AC36" s="133">
        <f t="shared" si="30"/>
        <v>30.079957549244</v>
      </c>
    </row>
    <row r="37" spans="1:29" ht="12.75">
      <c r="A37" s="24">
        <v>14.3</v>
      </c>
      <c r="B37" s="135">
        <v>1.8</v>
      </c>
      <c r="C37" s="135">
        <v>-40</v>
      </c>
      <c r="D37" s="136">
        <v>0</v>
      </c>
      <c r="E37" s="137">
        <f t="shared" si="31"/>
        <v>60.74160960826131</v>
      </c>
      <c r="F37" s="73">
        <f t="shared" si="32"/>
        <v>-17.66621634941673</v>
      </c>
      <c r="G37" s="73">
        <f t="shared" si="33"/>
        <v>63.25850407579064</v>
      </c>
      <c r="H37" s="74">
        <f t="shared" si="34"/>
        <v>1.4520903504484017</v>
      </c>
      <c r="I37" s="138">
        <f t="shared" si="35"/>
        <v>220.71039089112494</v>
      </c>
      <c r="J37" s="139">
        <f t="shared" si="36"/>
        <v>17.68584887805538</v>
      </c>
      <c r="K37" s="139">
        <f t="shared" si="20"/>
        <v>221.417853611335</v>
      </c>
      <c r="L37" s="140">
        <f t="shared" si="37"/>
        <v>1.94564639005856</v>
      </c>
      <c r="N37" s="130">
        <f t="shared" si="0"/>
        <v>278.7725631768954</v>
      </c>
      <c r="O37" s="130">
        <f t="shared" si="22"/>
        <v>4.865499091660729</v>
      </c>
      <c r="P37" s="130">
        <f t="shared" si="48"/>
        <v>2611.408943472258</v>
      </c>
      <c r="Q37" s="130">
        <f t="shared" si="49"/>
        <v>11.831835070966141</v>
      </c>
      <c r="R37" s="131">
        <f t="shared" si="50"/>
        <v>209.25604701518284</v>
      </c>
      <c r="S37" s="130">
        <f t="shared" si="4"/>
        <v>335.60780192918963</v>
      </c>
      <c r="T37" s="130">
        <f t="shared" si="5"/>
        <v>107.74080264383569</v>
      </c>
      <c r="V37" s="132">
        <f t="shared" si="42"/>
        <v>60.74160960826131</v>
      </c>
      <c r="W37" s="130">
        <f t="shared" si="43"/>
        <v>-17.66621634941673</v>
      </c>
      <c r="X37" s="130">
        <f t="shared" si="44"/>
        <v>63.25850407579064</v>
      </c>
      <c r="Y37" s="130">
        <f t="shared" si="45"/>
        <v>82.6864842411098</v>
      </c>
      <c r="Z37" s="130">
        <f t="shared" si="46"/>
        <v>-35.8613981937543</v>
      </c>
      <c r="AA37" s="130">
        <f t="shared" si="47"/>
        <v>90.12821176838195</v>
      </c>
      <c r="AB37" s="130">
        <f t="shared" si="29"/>
        <v>112.14187130029957</v>
      </c>
      <c r="AC37" s="133">
        <f t="shared" si="30"/>
        <v>20.675526041208492</v>
      </c>
    </row>
    <row r="38" spans="1:29" ht="12.75">
      <c r="A38" s="24">
        <v>14.4</v>
      </c>
      <c r="B38" s="135">
        <v>1.7</v>
      </c>
      <c r="C38" s="135">
        <v>-30</v>
      </c>
      <c r="D38" s="136">
        <v>0</v>
      </c>
      <c r="E38" s="137">
        <f t="shared" si="31"/>
        <v>57.01223481872263</v>
      </c>
      <c r="F38" s="73">
        <f t="shared" si="32"/>
        <v>-12.280474004004269</v>
      </c>
      <c r="G38" s="73">
        <f t="shared" si="33"/>
        <v>58.31985048667558</v>
      </c>
      <c r="H38" s="74">
        <f t="shared" si="34"/>
        <v>1.30225529609462</v>
      </c>
      <c r="I38" s="138">
        <f t="shared" si="35"/>
        <v>231.63355994307489</v>
      </c>
      <c r="J38" s="139">
        <f t="shared" si="36"/>
        <v>-16.470909838280736</v>
      </c>
      <c r="K38" s="139">
        <f t="shared" si="20"/>
        <v>232.2184251148105</v>
      </c>
      <c r="L38" s="140">
        <f t="shared" si="37"/>
        <v>2.0377293488646817</v>
      </c>
      <c r="N38" s="130">
        <f t="shared" si="0"/>
        <v>280.72202166064983</v>
      </c>
      <c r="O38" s="130">
        <f t="shared" si="22"/>
        <v>4.899523560833179</v>
      </c>
      <c r="P38" s="130">
        <f t="shared" si="48"/>
        <v>1647.158799929865</v>
      </c>
      <c r="Q38" s="130">
        <f t="shared" si="49"/>
        <v>7.111054202744466</v>
      </c>
      <c r="R38" s="131">
        <f t="shared" si="50"/>
        <v>-117.1255326285314</v>
      </c>
      <c r="S38" s="130">
        <f t="shared" si="4"/>
        <v>346.45638673238443</v>
      </c>
      <c r="T38" s="130">
        <f t="shared" si="5"/>
        <v>118.35417817857187</v>
      </c>
      <c r="V38" s="132">
        <f t="shared" si="42"/>
        <v>57.01223481872263</v>
      </c>
      <c r="W38" s="130">
        <f t="shared" si="43"/>
        <v>-12.280474004004269</v>
      </c>
      <c r="X38" s="130">
        <f t="shared" si="44"/>
        <v>58.31985048667558</v>
      </c>
      <c r="Y38" s="130">
        <f t="shared" si="45"/>
        <v>77.69587466435425</v>
      </c>
      <c r="Z38" s="130">
        <f t="shared" si="46"/>
        <v>-23.849851527586235</v>
      </c>
      <c r="AA38" s="130">
        <f t="shared" si="47"/>
        <v>81.27400788534396</v>
      </c>
      <c r="AB38" s="130">
        <f t="shared" si="29"/>
        <v>107.71456931474246</v>
      </c>
      <c r="AC38" s="133">
        <f t="shared" si="30"/>
        <v>14.141480789363278</v>
      </c>
    </row>
    <row r="39" spans="1:29" ht="12.75">
      <c r="A39" s="24">
        <v>14.5</v>
      </c>
      <c r="B39" s="135">
        <v>1.6</v>
      </c>
      <c r="C39" s="135">
        <v>-20</v>
      </c>
      <c r="D39" s="136">
        <v>0</v>
      </c>
      <c r="E39" s="137">
        <f t="shared" si="31"/>
        <v>53.282860029183965</v>
      </c>
      <c r="F39" s="73">
        <f t="shared" si="32"/>
        <v>-7.622363174899202</v>
      </c>
      <c r="G39" s="73">
        <f t="shared" si="33"/>
        <v>53.82530625328266</v>
      </c>
      <c r="H39" s="74">
        <f t="shared" si="34"/>
        <v>1.1742360041201365</v>
      </c>
      <c r="I39" s="138">
        <f t="shared" si="35"/>
        <v>231.45157186539356</v>
      </c>
      <c r="J39" s="139">
        <f t="shared" si="36"/>
        <v>-52.920814110203494</v>
      </c>
      <c r="K39" s="139">
        <f t="shared" si="20"/>
        <v>237.4246042116279</v>
      </c>
      <c r="L39" s="140">
        <f t="shared" si="37"/>
        <v>2.159763315473702</v>
      </c>
      <c r="N39" s="130">
        <f t="shared" si="0"/>
        <v>282.67148014440437</v>
      </c>
      <c r="O39" s="130">
        <f t="shared" si="22"/>
        <v>4.933548030005633</v>
      </c>
      <c r="P39" s="130">
        <f t="shared" si="48"/>
        <v>1107.3127939140431</v>
      </c>
      <c r="Q39" s="130">
        <f t="shared" si="49"/>
        <v>4.78420943521623</v>
      </c>
      <c r="R39" s="131">
        <f t="shared" si="50"/>
        <v>-253.18425818535974</v>
      </c>
      <c r="S39" s="130">
        <f t="shared" si="4"/>
        <v>349.9077356165355</v>
      </c>
      <c r="T39" s="130">
        <f t="shared" si="5"/>
        <v>128.43055477643932</v>
      </c>
      <c r="V39" s="132">
        <f t="shared" si="42"/>
        <v>53.282860029183965</v>
      </c>
      <c r="W39" s="130">
        <f t="shared" si="43"/>
        <v>-7.622363174899202</v>
      </c>
      <c r="X39" s="130">
        <f t="shared" si="44"/>
        <v>53.82530625328266</v>
      </c>
      <c r="Y39" s="130">
        <f t="shared" si="45"/>
        <v>71.89956794884385</v>
      </c>
      <c r="Z39" s="130">
        <f t="shared" si="46"/>
        <v>-14.12593821292128</v>
      </c>
      <c r="AA39" s="130">
        <f t="shared" si="47"/>
        <v>73.2740745531848</v>
      </c>
      <c r="AB39" s="130">
        <f t="shared" si="29"/>
        <v>103.563746534094</v>
      </c>
      <c r="AC39" s="133">
        <f t="shared" si="30"/>
        <v>8.299252396527844</v>
      </c>
    </row>
    <row r="40" spans="1:29" ht="12.75">
      <c r="A40" s="24">
        <v>14.6</v>
      </c>
      <c r="B40" s="135">
        <v>1.5</v>
      </c>
      <c r="C40" s="135">
        <v>-5</v>
      </c>
      <c r="D40" s="136">
        <v>0</v>
      </c>
      <c r="E40" s="137">
        <f t="shared" si="31"/>
        <v>49.55348523964529</v>
      </c>
      <c r="F40" s="73">
        <f t="shared" si="32"/>
        <v>-1.730321190388077</v>
      </c>
      <c r="G40" s="73">
        <f t="shared" si="33"/>
        <v>49.583685934162354</v>
      </c>
      <c r="H40" s="74">
        <f t="shared" si="34"/>
        <v>1.0365509773773043</v>
      </c>
      <c r="I40" s="138">
        <f t="shared" si="35"/>
        <v>213.48059683204235</v>
      </c>
      <c r="J40" s="139">
        <f t="shared" si="36"/>
        <v>-91.29765522842249</v>
      </c>
      <c r="K40" s="139">
        <f t="shared" si="20"/>
        <v>232.18360638506093</v>
      </c>
      <c r="L40" s="140">
        <f t="shared" si="37"/>
        <v>2.3098937142803573</v>
      </c>
      <c r="N40" s="130">
        <f t="shared" si="0"/>
        <v>284.6209386281589</v>
      </c>
      <c r="O40" s="130">
        <f t="shared" si="22"/>
        <v>4.967572499178086</v>
      </c>
      <c r="P40" s="130">
        <f t="shared" si="48"/>
        <v>777.7076944635312</v>
      </c>
      <c r="Q40" s="130">
        <f t="shared" si="49"/>
        <v>3.6429900703125693</v>
      </c>
      <c r="R40" s="131">
        <f t="shared" si="50"/>
        <v>-332.5964514399635</v>
      </c>
      <c r="S40" s="130">
        <f t="shared" si="4"/>
        <v>340.3840941715584</v>
      </c>
      <c r="T40" s="130">
        <f t="shared" si="5"/>
        <v>134.70734225472816</v>
      </c>
      <c r="V40" s="132">
        <f t="shared" si="42"/>
        <v>49.55348523964529</v>
      </c>
      <c r="W40" s="130">
        <f t="shared" si="43"/>
        <v>-1.730321190388077</v>
      </c>
      <c r="X40" s="130">
        <f t="shared" si="44"/>
        <v>49.583685934162354</v>
      </c>
      <c r="Y40" s="130">
        <f t="shared" si="45"/>
        <v>65.84005368544463</v>
      </c>
      <c r="Z40" s="130">
        <f t="shared" si="46"/>
        <v>-3.0574897589255685</v>
      </c>
      <c r="AA40" s="130">
        <f t="shared" si="47"/>
        <v>65.9110075247539</v>
      </c>
      <c r="AB40" s="130">
        <f t="shared" si="29"/>
        <v>99.56852130458792</v>
      </c>
      <c r="AC40" s="133">
        <f t="shared" si="30"/>
        <v>1.7870049952701967</v>
      </c>
    </row>
    <row r="41" spans="1:29" ht="12.75">
      <c r="A41" s="24">
        <v>14.62</v>
      </c>
      <c r="B41" s="135">
        <v>1.5</v>
      </c>
      <c r="C41" s="135">
        <v>0</v>
      </c>
      <c r="D41" s="136">
        <v>0</v>
      </c>
      <c r="E41" s="137">
        <f t="shared" si="31"/>
        <v>49.55348523964529</v>
      </c>
      <c r="F41" s="73">
        <f t="shared" si="32"/>
        <v>0</v>
      </c>
      <c r="G41" s="73">
        <f t="shared" si="33"/>
        <v>49.55348523964529</v>
      </c>
      <c r="H41" s="74">
        <f t="shared" si="34"/>
        <v>1.0090107639895627</v>
      </c>
      <c r="I41" s="138">
        <f t="shared" si="35"/>
        <v>204.7429388326886</v>
      </c>
      <c r="J41" s="139">
        <f t="shared" si="36"/>
        <v>-96.09763986012638</v>
      </c>
      <c r="K41" s="139">
        <f t="shared" si="20"/>
        <v>226.1734453655703</v>
      </c>
      <c r="L41" s="140">
        <f t="shared" si="37"/>
        <v>2.309243887932267</v>
      </c>
      <c r="N41" s="130">
        <f t="shared" si="0"/>
        <v>285.0108303249098</v>
      </c>
      <c r="O41" s="130">
        <f t="shared" si="22"/>
        <v>4.974377393012576</v>
      </c>
      <c r="P41" s="130">
        <f t="shared" si="48"/>
        <v>738.701922289082</v>
      </c>
      <c r="Q41" s="130">
        <f t="shared" si="49"/>
        <v>3.607948222784537</v>
      </c>
      <c r="R41" s="131">
        <f t="shared" si="50"/>
        <v>-346.71530894713146</v>
      </c>
      <c r="S41" s="130">
        <f t="shared" si="4"/>
        <v>333.3268854226002</v>
      </c>
      <c r="T41" s="130">
        <f t="shared" si="5"/>
        <v>131.87489414559906</v>
      </c>
      <c r="V41" s="132">
        <f t="shared" si="42"/>
        <v>49.55348523964529</v>
      </c>
      <c r="W41" s="130">
        <f t="shared" si="43"/>
        <v>0</v>
      </c>
      <c r="X41" s="130">
        <f t="shared" si="44"/>
        <v>49.55348523964529</v>
      </c>
      <c r="Y41" s="130">
        <f t="shared" si="45"/>
        <v>65.87521860320754</v>
      </c>
      <c r="Z41" s="130">
        <f t="shared" si="46"/>
        <v>0</v>
      </c>
      <c r="AA41" s="130">
        <f t="shared" si="47"/>
        <v>65.87521860320754</v>
      </c>
      <c r="AB41" s="130">
        <f t="shared" si="29"/>
        <v>99.55348523964528</v>
      </c>
      <c r="AC41" s="133">
        <f t="shared" si="30"/>
        <v>0.4465147603547095</v>
      </c>
    </row>
    <row r="42" spans="1:29" ht="12.75">
      <c r="A42" s="24">
        <v>15</v>
      </c>
      <c r="B42" s="135">
        <v>1.45</v>
      </c>
      <c r="C42" s="135">
        <v>85</v>
      </c>
      <c r="D42" s="136">
        <v>1</v>
      </c>
      <c r="E42" s="137">
        <f t="shared" si="31"/>
        <v>58.63471843068801</v>
      </c>
      <c r="F42" s="73">
        <f t="shared" si="32"/>
        <v>32.105866560049456</v>
      </c>
      <c r="G42" s="73">
        <f t="shared" si="33"/>
        <v>66.84920996554683</v>
      </c>
      <c r="H42" s="74">
        <f t="shared" si="34"/>
        <v>1.830825910831938</v>
      </c>
      <c r="I42" s="138">
        <f t="shared" si="35"/>
        <v>92.35080179888767</v>
      </c>
      <c r="J42" s="139">
        <f t="shared" si="36"/>
        <v>-77.71340533582307</v>
      </c>
      <c r="K42" s="139">
        <f t="shared" si="20"/>
        <v>120.6981522716374</v>
      </c>
      <c r="L42" s="140">
        <f t="shared" si="37"/>
        <v>2.153196726975779</v>
      </c>
      <c r="N42" s="130">
        <f t="shared" si="0"/>
        <v>292.41877256317696</v>
      </c>
      <c r="O42" s="130">
        <f t="shared" si="22"/>
        <v>5.103670375867896</v>
      </c>
      <c r="P42" s="130">
        <f t="shared" si="48"/>
        <v>403.138547696985</v>
      </c>
      <c r="Q42" s="130">
        <f t="shared" si="49"/>
        <v>4.365295588606797</v>
      </c>
      <c r="R42" s="131">
        <f t="shared" si="50"/>
        <v>-339.24198548808033</v>
      </c>
      <c r="S42" s="130">
        <f t="shared" si="4"/>
        <v>220.90296787250253</v>
      </c>
      <c r="T42" s="130">
        <f t="shared" si="5"/>
        <v>80.78930735607172</v>
      </c>
      <c r="V42" s="132">
        <f>B42*$AF$2+$AF$3</f>
        <v>47.68879784487596</v>
      </c>
      <c r="W42" s="130">
        <f>1000000/2/PI()/180*C42/A42/(C42+180)</f>
        <v>18.90729582503299</v>
      </c>
      <c r="X42" s="130">
        <f>SQRT(V42^2+W42^2)</f>
        <v>51.3001683750137</v>
      </c>
      <c r="Y42" s="130">
        <f>$AF$4*($AF$4*V42-V42^2-W42^2)/(W42^2+($AF$4-V42)^2)</f>
        <v>58.63471843068801</v>
      </c>
      <c r="Z42" s="130">
        <f>$AF$4^2*W42/(W42^2+($AF$4-V42)^2)</f>
        <v>32.105866560049456</v>
      </c>
      <c r="AA42" s="130">
        <f>SQRT(Y42^2+Z42^2)</f>
        <v>66.84920996554683</v>
      </c>
      <c r="AB42" s="130">
        <f t="shared" si="29"/>
        <v>113.27969242581199</v>
      </c>
      <c r="AC42" s="133">
        <f t="shared" si="30"/>
        <v>33.24672961283508</v>
      </c>
    </row>
    <row r="43" spans="1:29" ht="12.75">
      <c r="A43" s="24">
        <v>18</v>
      </c>
      <c r="B43" s="135">
        <v>4.2</v>
      </c>
      <c r="C43" s="135">
        <v>25</v>
      </c>
      <c r="D43" s="136">
        <v>1</v>
      </c>
      <c r="E43" s="137">
        <f aca="true" t="shared" si="51" ref="E43:E64">IF(B43&gt;0,IF($D43=0,V43,Y43),"")</f>
        <v>592.4767225254781</v>
      </c>
      <c r="F43" s="73">
        <f aca="true" t="shared" si="52" ref="F43:F64">IF(B43&gt;0,IF($D43=0,W43,Z43),"")</f>
        <v>95.41684643451303</v>
      </c>
      <c r="G43" s="73">
        <f aca="true" t="shared" si="53" ref="G43:G64">IF(B43&gt;0,IF($D43=0,X43,AA43),"")</f>
        <v>600.1108575238743</v>
      </c>
      <c r="H43" s="74">
        <f aca="true" t="shared" si="54" ref="H43:H64">IF(B43&gt;0,(AB43+AC43)/(AB43-AC43),"")</f>
        <v>12.159015183976843</v>
      </c>
      <c r="I43" s="138">
        <f aca="true" t="shared" si="55" ref="I43:I64">IF(B43&gt;0,P43/Q43,"")</f>
        <v>308.1100448762435</v>
      </c>
      <c r="J43" s="139">
        <f aca="true" t="shared" si="56" ref="J43:J64">IF(B43&gt;0,R43/Q43,"")</f>
        <v>293.37005226094504</v>
      </c>
      <c r="K43" s="139">
        <f t="shared" si="20"/>
        <v>425.43834725754374</v>
      </c>
      <c r="L43" s="140">
        <f aca="true" t="shared" si="57" ref="L43:L64">IF(B43&gt;0,(S43+T43)/(S43-T43),"")</f>
        <v>5.316934748016876</v>
      </c>
      <c r="N43" s="130">
        <f t="shared" si="0"/>
        <v>350.9025270758123</v>
      </c>
      <c r="O43" s="130">
        <f t="shared" si="22"/>
        <v>6.124404451041475</v>
      </c>
      <c r="P43" s="130">
        <f t="shared" si="48"/>
        <v>607.6685582003352</v>
      </c>
      <c r="Q43" s="130">
        <f t="shared" si="49"/>
        <v>1.9722452036395417</v>
      </c>
      <c r="R43" s="131">
        <f t="shared" si="50"/>
        <v>578.5976784631306</v>
      </c>
      <c r="S43" s="130">
        <f t="shared" si="4"/>
        <v>514.3996425339129</v>
      </c>
      <c r="T43" s="130">
        <f t="shared" si="5"/>
        <v>351.53595530161965</v>
      </c>
      <c r="V43" s="132">
        <f>B43*$AF$2+$AF$3</f>
        <v>150.24660455718936</v>
      </c>
      <c r="W43" s="130">
        <f>1000000/2/PI()/180*C43/A43/(C43+180)</f>
        <v>5.990475123904522</v>
      </c>
      <c r="X43" s="130">
        <f>SQRT(V43^2+W43^2)</f>
        <v>150.36598010578905</v>
      </c>
      <c r="Y43" s="130">
        <f>$AF$4*($AF$4*V43-V43^2-W43^2)/(W43^2+($AF$4-V43)^2)</f>
        <v>592.4767225254781</v>
      </c>
      <c r="Z43" s="130">
        <f>$AF$4^2*W43/(W43^2+($AF$4-V43)^2)</f>
        <v>95.41684643451303</v>
      </c>
      <c r="AA43" s="130">
        <f>SQRT(Y43^2+Z43^2)</f>
        <v>600.1108575238743</v>
      </c>
      <c r="AB43" s="130">
        <f t="shared" si="29"/>
        <v>649.5234511321262</v>
      </c>
      <c r="AC43" s="133">
        <f t="shared" si="30"/>
        <v>550.8042928894907</v>
      </c>
    </row>
    <row r="44" spans="1:29" ht="12.75">
      <c r="A44" s="24">
        <v>18.1</v>
      </c>
      <c r="B44" s="135">
        <v>4.4</v>
      </c>
      <c r="C44" s="135">
        <v>50</v>
      </c>
      <c r="D44" s="136">
        <v>1</v>
      </c>
      <c r="E44" s="137">
        <f t="shared" si="51"/>
        <v>689.6575929253457</v>
      </c>
      <c r="F44" s="73">
        <f t="shared" si="52"/>
        <v>223.3822786483072</v>
      </c>
      <c r="G44" s="73">
        <f t="shared" si="53"/>
        <v>724.9325747224302</v>
      </c>
      <c r="H44" s="74">
        <f t="shared" si="54"/>
        <v>15.247150128166279</v>
      </c>
      <c r="I44" s="138">
        <f t="shared" si="55"/>
        <v>330.3012595617297</v>
      </c>
      <c r="J44" s="139">
        <f t="shared" si="56"/>
        <v>368.47180693406784</v>
      </c>
      <c r="K44" s="139">
        <f t="shared" si="20"/>
        <v>494.8438082600631</v>
      </c>
      <c r="L44" s="140">
        <f t="shared" si="57"/>
        <v>6.675250551826563</v>
      </c>
      <c r="N44" s="130">
        <f t="shared" si="0"/>
        <v>352.8519855595668</v>
      </c>
      <c r="O44" s="130">
        <f t="shared" si="22"/>
        <v>6.158428920213927</v>
      </c>
      <c r="P44" s="130">
        <f t="shared" si="48"/>
        <v>700.5038981446032</v>
      </c>
      <c r="Q44" s="130">
        <f t="shared" si="49"/>
        <v>2.12080298777573</v>
      </c>
      <c r="R44" s="131">
        <f t="shared" si="50"/>
        <v>781.4561090568931</v>
      </c>
      <c r="S44" s="130">
        <f t="shared" si="4"/>
        <v>577.5450882402563</v>
      </c>
      <c r="T44" s="130">
        <f t="shared" si="5"/>
        <v>427.04965246511756</v>
      </c>
      <c r="V44" s="132">
        <f>B44*$AF$2+$AF$3</f>
        <v>157.70535413626672</v>
      </c>
      <c r="W44" s="130">
        <f>1000000/2/PI()/180*C44/A44/(C44+180)</f>
        <v>10.619674853330618</v>
      </c>
      <c r="X44" s="130">
        <f>SQRT(V44^2+W44^2)</f>
        <v>158.06250731035416</v>
      </c>
      <c r="Y44" s="130">
        <f>$AF$4*($AF$4*V44-V44^2-W44^2)/(W44^2+($AF$4-V44)^2)</f>
        <v>689.6575929253457</v>
      </c>
      <c r="Z44" s="130">
        <f>$AF$4^2*W44/(W44^2+($AF$4-V44)^2)</f>
        <v>223.3822786483072</v>
      </c>
      <c r="AA44" s="130">
        <f>SQRT(Y44^2+Z44^2)</f>
        <v>724.9325747224302</v>
      </c>
      <c r="AB44" s="130">
        <f t="shared" si="29"/>
        <v>772.6532192298343</v>
      </c>
      <c r="AC44" s="133">
        <f t="shared" si="30"/>
        <v>677.5407578892633</v>
      </c>
    </row>
    <row r="45" spans="1:29" ht="12.75">
      <c r="A45" s="24">
        <v>18.25</v>
      </c>
      <c r="B45" s="135">
        <v>4.4</v>
      </c>
      <c r="C45" s="135">
        <v>15</v>
      </c>
      <c r="D45" s="136">
        <v>1</v>
      </c>
      <c r="E45" s="137">
        <f t="shared" si="51"/>
        <v>738.459541216526</v>
      </c>
      <c r="F45" s="73">
        <f t="shared" si="52"/>
        <v>82.69353670797967</v>
      </c>
      <c r="G45" s="73">
        <f t="shared" si="53"/>
        <v>743.0751745462877</v>
      </c>
      <c r="H45" s="74">
        <f t="shared" si="54"/>
        <v>14.955235445037314</v>
      </c>
      <c r="I45" s="138">
        <f t="shared" si="55"/>
        <v>555.4479403918941</v>
      </c>
      <c r="J45" s="139">
        <f t="shared" si="56"/>
        <v>321.79456272129164</v>
      </c>
      <c r="K45" s="139">
        <f t="shared" si="20"/>
        <v>641.9300235092486</v>
      </c>
      <c r="L45" s="140">
        <f t="shared" si="57"/>
        <v>6.536200712439809</v>
      </c>
      <c r="N45" s="130">
        <f t="shared" si="0"/>
        <v>355.7761732851986</v>
      </c>
      <c r="O45" s="130">
        <f t="shared" si="22"/>
        <v>6.209465623972606</v>
      </c>
      <c r="P45" s="130">
        <f t="shared" si="48"/>
        <v>742.4873523726827</v>
      </c>
      <c r="Q45" s="130">
        <f t="shared" si="49"/>
        <v>1.3367361698178657</v>
      </c>
      <c r="R45" s="131">
        <f t="shared" si="50"/>
        <v>430.15443124027433</v>
      </c>
      <c r="S45" s="130">
        <f t="shared" si="4"/>
        <v>743.1619247943962</v>
      </c>
      <c r="T45" s="130">
        <f t="shared" si="5"/>
        <v>545.9373674474353</v>
      </c>
      <c r="V45" s="132">
        <f>B45*$AF$2+$AF$3</f>
        <v>157.70535413626672</v>
      </c>
      <c r="W45" s="130">
        <f>1000000/2/PI()/180*C45/A45/(C45+180)</f>
        <v>3.726845640835858</v>
      </c>
      <c r="X45" s="130">
        <f>SQRT(V45^2+W45^2)</f>
        <v>157.74938383929083</v>
      </c>
      <c r="Y45" s="130">
        <f>$AF$4*($AF$4*V45-V45^2-W45^2)/(W45^2+($AF$4-V45)^2)</f>
        <v>738.459541216526</v>
      </c>
      <c r="Z45" s="130">
        <f>$AF$4^2*W45/(W45^2+($AF$4-V45)^2)</f>
        <v>82.69353670797967</v>
      </c>
      <c r="AA45" s="130">
        <f>SQRT(Y45^2+Z45^2)</f>
        <v>743.0751745462877</v>
      </c>
      <c r="AB45" s="130">
        <f t="shared" si="29"/>
        <v>792.784125187083</v>
      </c>
      <c r="AC45" s="133">
        <f t="shared" si="30"/>
        <v>693.4080767523143</v>
      </c>
    </row>
    <row r="46" spans="1:29" ht="12.75">
      <c r="A46" s="24">
        <v>19</v>
      </c>
      <c r="B46" s="135">
        <v>3.7</v>
      </c>
      <c r="C46" s="135">
        <v>-75</v>
      </c>
      <c r="D46" s="136">
        <v>1</v>
      </c>
      <c r="E46" s="137">
        <f t="shared" si="51"/>
        <v>273.07018672799086</v>
      </c>
      <c r="F46" s="73">
        <f t="shared" si="52"/>
        <v>-229.89723979817813</v>
      </c>
      <c r="G46" s="73">
        <f t="shared" si="53"/>
        <v>356.9594763365736</v>
      </c>
      <c r="H46" s="74">
        <f t="shared" si="54"/>
        <v>9.409228661648918</v>
      </c>
      <c r="I46" s="138">
        <f t="shared" si="55"/>
        <v>136.69958910885885</v>
      </c>
      <c r="J46" s="139">
        <f t="shared" si="56"/>
        <v>-196.3686963550918</v>
      </c>
      <c r="K46" s="139">
        <f t="shared" si="20"/>
        <v>239.26437798119696</v>
      </c>
      <c r="L46" s="140">
        <f t="shared" si="57"/>
        <v>4.262171605988218</v>
      </c>
      <c r="N46" s="130">
        <f aca="true" t="shared" si="58" ref="N46:N57">$AF$8/(299.79/A46)/$AF$7*360</f>
        <v>370.3971119133574</v>
      </c>
      <c r="O46" s="130">
        <f t="shared" si="22"/>
        <v>6.4646491427660004</v>
      </c>
      <c r="P46" s="130">
        <f t="shared" si="48"/>
        <v>282.26329461050744</v>
      </c>
      <c r="Q46" s="130">
        <f t="shared" si="49"/>
        <v>2.0648437676409617</v>
      </c>
      <c r="R46" s="131">
        <f t="shared" si="50"/>
        <v>-405.4706788285917</v>
      </c>
      <c r="S46" s="130">
        <f aca="true" t="shared" si="59" ref="S46:S57">SQRT((I46+$AF$6)^2+J46^2)</f>
        <v>318.7903375881246</v>
      </c>
      <c r="T46" s="130">
        <f aca="true" t="shared" si="60" ref="T46:T57">SQRT((I46-$AF$6)^2+J46^2)</f>
        <v>197.62730397464486</v>
      </c>
      <c r="V46" s="132">
        <f aca="true" t="shared" si="61" ref="V46:V57">B46*$AF$2+$AF$3</f>
        <v>131.59973060949602</v>
      </c>
      <c r="W46" s="130">
        <f aca="true" t="shared" si="62" ref="W46:W57">1000000/2/PI()/180*C46/A46/(C46+180)</f>
        <v>-33.240380762718324</v>
      </c>
      <c r="X46" s="130">
        <f aca="true" t="shared" si="63" ref="X46:X57">SQRT(V46^2+W46^2)</f>
        <v>135.7328700416462</v>
      </c>
      <c r="Y46" s="130">
        <f aca="true" t="shared" si="64" ref="Y46:Y57">$AF$4*($AF$4*V46-V46^2-W46^2)/(W46^2+($AF$4-V46)^2)</f>
        <v>273.07018672799086</v>
      </c>
      <c r="Z46" s="130">
        <f aca="true" t="shared" si="65" ref="Z46:Z57">$AF$4^2*W46/(W46^2+($AF$4-V46)^2)</f>
        <v>-229.89723979817813</v>
      </c>
      <c r="AA46" s="130">
        <f aca="true" t="shared" si="66" ref="AA46:AA57">SQRT(Y46^2+Z46^2)</f>
        <v>356.9594763365736</v>
      </c>
      <c r="AB46" s="130">
        <f aca="true" t="shared" si="67" ref="AB46:AB57">SQRT((E46+$AF$5)^2+F46^2)</f>
        <v>396.5187087884756</v>
      </c>
      <c r="AC46" s="133">
        <f aca="true" t="shared" si="68" ref="AC46:AC57">SQRT((E46-$AF$5)^2+F46^2)</f>
        <v>320.3327162087596</v>
      </c>
    </row>
    <row r="47" spans="1:29" ht="12.75">
      <c r="A47" s="24">
        <v>20</v>
      </c>
      <c r="B47" s="135">
        <v>3.25</v>
      </c>
      <c r="C47" s="135">
        <v>-110</v>
      </c>
      <c r="D47" s="136">
        <v>0</v>
      </c>
      <c r="E47" s="137">
        <f t="shared" si="51"/>
        <v>114.817544056572</v>
      </c>
      <c r="F47" s="73">
        <f t="shared" si="52"/>
        <v>-69.4723957940813</v>
      </c>
      <c r="G47" s="73">
        <f t="shared" si="53"/>
        <v>134.19941207230505</v>
      </c>
      <c r="H47" s="74">
        <f t="shared" si="54"/>
        <v>3.266385785116026</v>
      </c>
      <c r="I47" s="138">
        <f t="shared" si="55"/>
        <v>70.96938532292772</v>
      </c>
      <c r="J47" s="139">
        <f t="shared" si="56"/>
        <v>-33.081827541190776</v>
      </c>
      <c r="K47" s="139">
        <f t="shared" si="20"/>
        <v>78.30109173299742</v>
      </c>
      <c r="L47" s="140">
        <f t="shared" si="57"/>
        <v>1.8169958067648213</v>
      </c>
      <c r="N47" s="130">
        <f t="shared" si="58"/>
        <v>389.89169675090255</v>
      </c>
      <c r="O47" s="130">
        <f t="shared" si="22"/>
        <v>6.804893834490527</v>
      </c>
      <c r="P47" s="130">
        <f t="shared" si="48"/>
        <v>152.75700516529085</v>
      </c>
      <c r="Q47" s="130">
        <f t="shared" si="49"/>
        <v>2.152435229221866</v>
      </c>
      <c r="R47" s="131">
        <f t="shared" si="50"/>
        <v>-71.20649104670122</v>
      </c>
      <c r="S47" s="130">
        <f t="shared" si="59"/>
        <v>188.3288106914435</v>
      </c>
      <c r="T47" s="130">
        <f t="shared" si="60"/>
        <v>54.619835875659376</v>
      </c>
      <c r="V47" s="132">
        <f t="shared" si="61"/>
        <v>114.817544056572</v>
      </c>
      <c r="W47" s="130">
        <f t="shared" si="62"/>
        <v>-69.4723957940813</v>
      </c>
      <c r="X47" s="130">
        <f t="shared" si="63"/>
        <v>134.19941207230505</v>
      </c>
      <c r="Y47" s="130">
        <f t="shared" si="64"/>
        <v>82.00357764447843</v>
      </c>
      <c r="Z47" s="130">
        <f t="shared" si="65"/>
        <v>-229.99412196421486</v>
      </c>
      <c r="AA47" s="130">
        <f t="shared" si="66"/>
        <v>244.1759260954776</v>
      </c>
      <c r="AB47" s="130">
        <f t="shared" si="67"/>
        <v>178.86094209248014</v>
      </c>
      <c r="AC47" s="133">
        <f t="shared" si="68"/>
        <v>95.01435573056915</v>
      </c>
    </row>
    <row r="48" spans="1:29" ht="12.75">
      <c r="A48" s="24">
        <v>21</v>
      </c>
      <c r="B48" s="135">
        <v>4</v>
      </c>
      <c r="C48" s="135">
        <v>-120</v>
      </c>
      <c r="D48" s="136">
        <v>0</v>
      </c>
      <c r="E48" s="137">
        <f t="shared" si="51"/>
        <v>142.78785497811202</v>
      </c>
      <c r="F48" s="73">
        <f t="shared" si="52"/>
        <v>-84.20896459888642</v>
      </c>
      <c r="G48" s="73">
        <f t="shared" si="53"/>
        <v>165.76948225794413</v>
      </c>
      <c r="H48" s="74">
        <f t="shared" si="54"/>
        <v>3.945731184497045</v>
      </c>
      <c r="I48" s="138">
        <f t="shared" si="55"/>
        <v>60.49474062221513</v>
      </c>
      <c r="J48" s="139">
        <f t="shared" si="56"/>
        <v>-20.876869771272357</v>
      </c>
      <c r="K48" s="139">
        <f t="shared" si="20"/>
        <v>63.995760284535656</v>
      </c>
      <c r="L48" s="140">
        <f t="shared" si="57"/>
        <v>1.977520796984007</v>
      </c>
      <c r="N48" s="130">
        <f t="shared" si="58"/>
        <v>409.38628158844773</v>
      </c>
      <c r="O48" s="130">
        <f t="shared" si="22"/>
        <v>7.145138526215055</v>
      </c>
      <c r="P48" s="130">
        <f t="shared" si="48"/>
        <v>336.96749656464755</v>
      </c>
      <c r="Q48" s="130">
        <f t="shared" si="49"/>
        <v>5.570194914446908</v>
      </c>
      <c r="R48" s="131">
        <f t="shared" si="50"/>
        <v>-116.28823382951167</v>
      </c>
      <c r="S48" s="130">
        <f t="shared" si="59"/>
        <v>176.16721440653194</v>
      </c>
      <c r="T48" s="130">
        <f t="shared" si="60"/>
        <v>57.83573904960049</v>
      </c>
      <c r="V48" s="132">
        <f t="shared" si="61"/>
        <v>142.78785497811202</v>
      </c>
      <c r="W48" s="130">
        <f t="shared" si="62"/>
        <v>-84.20896459888642</v>
      </c>
      <c r="X48" s="130">
        <f t="shared" si="63"/>
        <v>165.76948225794413</v>
      </c>
      <c r="Y48" s="130">
        <f t="shared" si="64"/>
        <v>20.802977599376305</v>
      </c>
      <c r="Z48" s="130">
        <f t="shared" si="65"/>
        <v>-324.9937599242457</v>
      </c>
      <c r="AA48" s="130">
        <f t="shared" si="66"/>
        <v>325.65888267740894</v>
      </c>
      <c r="AB48" s="130">
        <f t="shared" si="67"/>
        <v>210.3765831690354</v>
      </c>
      <c r="AC48" s="133">
        <f t="shared" si="68"/>
        <v>125.30257679016682</v>
      </c>
    </row>
    <row r="49" spans="1:29" ht="12.75">
      <c r="A49" s="24">
        <v>22</v>
      </c>
      <c r="B49" s="135">
        <v>1.8</v>
      </c>
      <c r="C49" s="135">
        <v>-110</v>
      </c>
      <c r="D49" s="136">
        <v>0</v>
      </c>
      <c r="E49" s="137">
        <f t="shared" si="51"/>
        <v>60.74160960826131</v>
      </c>
      <c r="F49" s="73">
        <f t="shared" si="52"/>
        <v>-63.156723449164815</v>
      </c>
      <c r="G49" s="73">
        <f t="shared" si="53"/>
        <v>87.6259941720304</v>
      </c>
      <c r="H49" s="74">
        <f t="shared" si="54"/>
        <v>3.020249995641228</v>
      </c>
      <c r="I49" s="138">
        <f t="shared" si="55"/>
        <v>60.075724104803065</v>
      </c>
      <c r="J49" s="139">
        <f t="shared" si="56"/>
        <v>61.97982434666182</v>
      </c>
      <c r="K49" s="139">
        <f t="shared" si="20"/>
        <v>86.31680747548226</v>
      </c>
      <c r="L49" s="140">
        <f t="shared" si="57"/>
        <v>2.6046481690170875</v>
      </c>
      <c r="N49" s="130">
        <f t="shared" si="58"/>
        <v>428.8808664259928</v>
      </c>
      <c r="O49" s="130">
        <f t="shared" si="22"/>
        <v>7.48538321793958</v>
      </c>
      <c r="P49" s="130">
        <f t="shared" si="48"/>
        <v>467.88342618606043</v>
      </c>
      <c r="Q49" s="130">
        <f t="shared" si="49"/>
        <v>7.788227826764606</v>
      </c>
      <c r="R49" s="131">
        <f t="shared" si="50"/>
        <v>482.712992674654</v>
      </c>
      <c r="S49" s="130">
        <f t="shared" si="59"/>
        <v>185.18672825671638</v>
      </c>
      <c r="T49" s="130">
        <f t="shared" si="60"/>
        <v>82.43787756529761</v>
      </c>
      <c r="V49" s="132">
        <f t="shared" si="61"/>
        <v>60.74160960826131</v>
      </c>
      <c r="W49" s="130">
        <f t="shared" si="62"/>
        <v>-63.156723449164815</v>
      </c>
      <c r="X49" s="130">
        <f t="shared" si="63"/>
        <v>87.6259941720304</v>
      </c>
      <c r="Y49" s="130">
        <f t="shared" si="64"/>
        <v>38.23513781242681</v>
      </c>
      <c r="Z49" s="130">
        <f t="shared" si="65"/>
        <v>-108.04484148041468</v>
      </c>
      <c r="AA49" s="130">
        <f t="shared" si="66"/>
        <v>114.61070427348051</v>
      </c>
      <c r="AB49" s="130">
        <f t="shared" si="67"/>
        <v>127.48519841716072</v>
      </c>
      <c r="AC49" s="133">
        <f t="shared" si="68"/>
        <v>64.06367062392363</v>
      </c>
    </row>
    <row r="50" spans="1:29" ht="12.75">
      <c r="A50" s="24">
        <v>23</v>
      </c>
      <c r="B50" s="135">
        <v>1.5</v>
      </c>
      <c r="C50" s="135">
        <v>50</v>
      </c>
      <c r="D50" s="136">
        <v>0</v>
      </c>
      <c r="E50" s="137">
        <f t="shared" si="51"/>
        <v>49.55348523964529</v>
      </c>
      <c r="F50" s="73">
        <f t="shared" si="52"/>
        <v>8.357222384577573</v>
      </c>
      <c r="G50" s="73">
        <f t="shared" si="53"/>
        <v>50.25326920092889</v>
      </c>
      <c r="H50" s="74">
        <f t="shared" si="54"/>
        <v>1.1828631032730657</v>
      </c>
      <c r="I50" s="138">
        <f t="shared" si="55"/>
        <v>261.67721062578175</v>
      </c>
      <c r="J50" s="139">
        <f t="shared" si="56"/>
        <v>-30.23933965724608</v>
      </c>
      <c r="K50" s="139">
        <f t="shared" si="20"/>
        <v>263.41864061564826</v>
      </c>
      <c r="L50" s="140">
        <f t="shared" si="57"/>
        <v>2.324381022896201</v>
      </c>
      <c r="N50" s="130">
        <f t="shared" si="58"/>
        <v>448.37545126353797</v>
      </c>
      <c r="O50" s="130">
        <f t="shared" si="22"/>
        <v>7.825627909664107</v>
      </c>
      <c r="P50" s="130">
        <f t="shared" si="48"/>
        <v>61655.29285173975</v>
      </c>
      <c r="Q50" s="130">
        <f t="shared" si="49"/>
        <v>235.61582876971082</v>
      </c>
      <c r="R50" s="131">
        <f t="shared" si="50"/>
        <v>-7124.867074790818</v>
      </c>
      <c r="S50" s="130">
        <f t="shared" si="59"/>
        <v>377.32196614212717</v>
      </c>
      <c r="T50" s="130">
        <f t="shared" si="60"/>
        <v>150.319126489647</v>
      </c>
      <c r="V50" s="132">
        <f t="shared" si="61"/>
        <v>49.55348523964529</v>
      </c>
      <c r="W50" s="130">
        <f t="shared" si="62"/>
        <v>8.357222384577573</v>
      </c>
      <c r="X50" s="130">
        <f t="shared" si="63"/>
        <v>50.25326920092889</v>
      </c>
      <c r="Y50" s="130">
        <f t="shared" si="64"/>
        <v>65.05732001692758</v>
      </c>
      <c r="Z50" s="130">
        <f t="shared" si="65"/>
        <v>14.723790521635516</v>
      </c>
      <c r="AA50" s="130">
        <f t="shared" si="66"/>
        <v>66.70266033007925</v>
      </c>
      <c r="AB50" s="130">
        <f t="shared" si="67"/>
        <v>99.90365153159095</v>
      </c>
      <c r="AC50" s="133">
        <f t="shared" si="68"/>
        <v>8.369142215095826</v>
      </c>
    </row>
    <row r="51" spans="1:29" ht="12.75">
      <c r="A51" s="24">
        <v>23.49</v>
      </c>
      <c r="B51" s="135">
        <v>1.4</v>
      </c>
      <c r="C51" s="135">
        <v>0</v>
      </c>
      <c r="D51" s="136">
        <v>0</v>
      </c>
      <c r="E51" s="137">
        <f t="shared" si="51"/>
        <v>45.82411045010662</v>
      </c>
      <c r="F51" s="73">
        <f t="shared" si="52"/>
        <v>0</v>
      </c>
      <c r="G51" s="73">
        <f t="shared" si="53"/>
        <v>45.82411045010662</v>
      </c>
      <c r="H51" s="74">
        <f t="shared" si="54"/>
        <v>1.091128654956436</v>
      </c>
      <c r="I51" s="138">
        <f t="shared" si="55"/>
        <v>259.8707957002652</v>
      </c>
      <c r="J51" s="139">
        <f t="shared" si="56"/>
        <v>-74.43417947574287</v>
      </c>
      <c r="K51" s="139">
        <f t="shared" si="20"/>
        <v>270.3206938658527</v>
      </c>
      <c r="L51" s="140">
        <f t="shared" si="57"/>
        <v>2.4971806717336165</v>
      </c>
      <c r="N51" s="130">
        <f t="shared" si="58"/>
        <v>457.92779783393496</v>
      </c>
      <c r="O51" s="130">
        <f t="shared" si="22"/>
        <v>7.992347808609122</v>
      </c>
      <c r="P51" s="130">
        <f t="shared" si="48"/>
        <v>2408.837462061101</v>
      </c>
      <c r="Q51" s="130">
        <f t="shared" si="49"/>
        <v>9.26936578452414</v>
      </c>
      <c r="R51" s="131">
        <f t="shared" si="50"/>
        <v>-689.9576364315799</v>
      </c>
      <c r="S51" s="130">
        <f t="shared" si="59"/>
        <v>381.6311614758913</v>
      </c>
      <c r="T51" s="130">
        <f t="shared" si="60"/>
        <v>163.38040619723438</v>
      </c>
      <c r="V51" s="132">
        <f t="shared" si="61"/>
        <v>45.82411045010662</v>
      </c>
      <c r="W51" s="130">
        <f t="shared" si="62"/>
        <v>0</v>
      </c>
      <c r="X51" s="130">
        <f t="shared" si="63"/>
        <v>45.82411045010662</v>
      </c>
      <c r="Y51" s="130">
        <f t="shared" si="64"/>
        <v>59.44393845741662</v>
      </c>
      <c r="Z51" s="130">
        <f t="shared" si="65"/>
        <v>0</v>
      </c>
      <c r="AA51" s="130">
        <f t="shared" si="66"/>
        <v>59.44393845741662</v>
      </c>
      <c r="AB51" s="130">
        <f t="shared" si="67"/>
        <v>95.82411045010662</v>
      </c>
      <c r="AC51" s="133">
        <f t="shared" si="68"/>
        <v>4.175889549893377</v>
      </c>
    </row>
    <row r="52" spans="1:29" ht="12.75">
      <c r="A52" s="24">
        <v>24</v>
      </c>
      <c r="B52" s="135">
        <v>1.5</v>
      </c>
      <c r="C52" s="135">
        <v>150</v>
      </c>
      <c r="D52" s="136">
        <v>1</v>
      </c>
      <c r="E52" s="137">
        <f t="shared" si="51"/>
        <v>62.62140059453697</v>
      </c>
      <c r="F52" s="73">
        <f t="shared" si="52"/>
        <v>29.23221241570318</v>
      </c>
      <c r="G52" s="73">
        <f t="shared" si="53"/>
        <v>69.10833564150035</v>
      </c>
      <c r="H52" s="74">
        <f t="shared" si="54"/>
        <v>1.7535090436976404</v>
      </c>
      <c r="I52" s="138">
        <f t="shared" si="55"/>
        <v>109.14133657558982</v>
      </c>
      <c r="J52" s="139">
        <f t="shared" si="56"/>
        <v>-78.35590555002665</v>
      </c>
      <c r="K52" s="139">
        <f t="shared" si="20"/>
        <v>134.35579363790336</v>
      </c>
      <c r="L52" s="140">
        <f t="shared" si="57"/>
        <v>1.9917734101033682</v>
      </c>
      <c r="N52" s="130">
        <f t="shared" si="58"/>
        <v>467.87003610108314</v>
      </c>
      <c r="O52" s="130">
        <f t="shared" si="22"/>
        <v>8.165872601388633</v>
      </c>
      <c r="P52" s="130">
        <f t="shared" si="48"/>
        <v>665.036171926714</v>
      </c>
      <c r="Q52" s="130">
        <f t="shared" si="49"/>
        <v>6.093348247262108</v>
      </c>
      <c r="R52" s="131">
        <f t="shared" si="50"/>
        <v>-477.4498197458902</v>
      </c>
      <c r="S52" s="130">
        <f t="shared" si="59"/>
        <v>236.90562401854578</v>
      </c>
      <c r="T52" s="130">
        <f t="shared" si="60"/>
        <v>78.53425590724187</v>
      </c>
      <c r="V52" s="132">
        <f t="shared" si="61"/>
        <v>49.55348523964529</v>
      </c>
      <c r="W52" s="130">
        <f t="shared" si="62"/>
        <v>16.746100914551278</v>
      </c>
      <c r="X52" s="130">
        <f t="shared" si="63"/>
        <v>52.30659418501723</v>
      </c>
      <c r="Y52" s="130">
        <f t="shared" si="64"/>
        <v>62.62140059453697</v>
      </c>
      <c r="Z52" s="130">
        <f t="shared" si="65"/>
        <v>29.23221241570318</v>
      </c>
      <c r="AA52" s="130">
        <f t="shared" si="66"/>
        <v>69.10833564150035</v>
      </c>
      <c r="AB52" s="130">
        <f t="shared" si="67"/>
        <v>116.35335025082846</v>
      </c>
      <c r="AC52" s="133">
        <f t="shared" si="68"/>
        <v>31.84057153514317</v>
      </c>
    </row>
    <row r="53" spans="1:29" ht="12.75">
      <c r="A53" s="24">
        <v>24.2</v>
      </c>
      <c r="B53" s="135">
        <v>1.5</v>
      </c>
      <c r="C53" s="135">
        <v>150</v>
      </c>
      <c r="D53" s="136">
        <v>1</v>
      </c>
      <c r="E53" s="137">
        <f t="shared" si="51"/>
        <v>62.674315656608016</v>
      </c>
      <c r="F53" s="73">
        <f t="shared" si="52"/>
        <v>28.996465146311397</v>
      </c>
      <c r="G53" s="73">
        <f t="shared" si="53"/>
        <v>69.05696803368501</v>
      </c>
      <c r="H53" s="74">
        <f t="shared" si="54"/>
        <v>1.7472342549914248</v>
      </c>
      <c r="I53" s="138">
        <f t="shared" si="55"/>
        <v>100.08876323138554</v>
      </c>
      <c r="J53" s="139">
        <f t="shared" si="56"/>
        <v>-73.58609189991235</v>
      </c>
      <c r="K53" s="139">
        <f t="shared" si="20"/>
        <v>124.22831177429202</v>
      </c>
      <c r="L53" s="140">
        <f t="shared" si="57"/>
        <v>1.9876322810908205</v>
      </c>
      <c r="N53" s="130">
        <f t="shared" si="58"/>
        <v>471.76895306859205</v>
      </c>
      <c r="O53" s="130">
        <f t="shared" si="22"/>
        <v>8.233921539733537</v>
      </c>
      <c r="P53" s="130">
        <f t="shared" si="48"/>
        <v>455.6786651160808</v>
      </c>
      <c r="Q53" s="130">
        <f t="shared" si="49"/>
        <v>4.552745487149655</v>
      </c>
      <c r="R53" s="131">
        <f t="shared" si="50"/>
        <v>-335.0187478143057</v>
      </c>
      <c r="S53" s="130">
        <f t="shared" si="59"/>
        <v>226.7899409408181</v>
      </c>
      <c r="T53" s="130">
        <f t="shared" si="60"/>
        <v>74.97076133414016</v>
      </c>
      <c r="V53" s="132">
        <f t="shared" si="61"/>
        <v>49.55348523964529</v>
      </c>
      <c r="W53" s="130">
        <f t="shared" si="62"/>
        <v>16.607703386331846</v>
      </c>
      <c r="X53" s="130">
        <f t="shared" si="63"/>
        <v>52.2624502981263</v>
      </c>
      <c r="Y53" s="130">
        <f t="shared" si="64"/>
        <v>62.674315656608016</v>
      </c>
      <c r="Z53" s="130">
        <f t="shared" si="65"/>
        <v>28.996465146311397</v>
      </c>
      <c r="AA53" s="130">
        <f t="shared" si="66"/>
        <v>69.05696803368501</v>
      </c>
      <c r="AB53" s="130">
        <f t="shared" si="67"/>
        <v>116.34559037482337</v>
      </c>
      <c r="AC53" s="133">
        <f t="shared" si="68"/>
        <v>31.645430449665096</v>
      </c>
    </row>
    <row r="54" spans="1:29" ht="12.75">
      <c r="A54" s="24">
        <v>27</v>
      </c>
      <c r="B54" s="135">
        <v>3.1</v>
      </c>
      <c r="C54" s="135">
        <v>-30</v>
      </c>
      <c r="D54" s="136">
        <v>1</v>
      </c>
      <c r="E54" s="137">
        <f t="shared" si="51"/>
        <v>238.36060745349565</v>
      </c>
      <c r="F54" s="73">
        <f t="shared" si="52"/>
        <v>-31.628009270779966</v>
      </c>
      <c r="G54" s="73">
        <f t="shared" si="53"/>
        <v>240.44980797670019</v>
      </c>
      <c r="H54" s="74">
        <f t="shared" si="54"/>
        <v>4.854936697224137</v>
      </c>
      <c r="I54" s="138">
        <f t="shared" si="55"/>
        <v>224.15706117939607</v>
      </c>
      <c r="J54" s="139">
        <f t="shared" si="56"/>
        <v>57.82964839653392</v>
      </c>
      <c r="K54" s="139">
        <f t="shared" si="20"/>
        <v>231.49655787991804</v>
      </c>
      <c r="L54" s="140">
        <f t="shared" si="57"/>
        <v>2.1303492472246726</v>
      </c>
      <c r="N54" s="130">
        <f t="shared" si="58"/>
        <v>526.3537906137185</v>
      </c>
      <c r="O54" s="130">
        <f t="shared" si="22"/>
        <v>9.186606676562212</v>
      </c>
      <c r="P54" s="130">
        <f t="shared" si="48"/>
        <v>252.41001222696718</v>
      </c>
      <c r="Q54" s="130">
        <f t="shared" si="49"/>
        <v>1.1260408701778968</v>
      </c>
      <c r="R54" s="131">
        <f t="shared" si="50"/>
        <v>65.11854760251487</v>
      </c>
      <c r="S54" s="130">
        <f t="shared" si="59"/>
        <v>343.4911928350131</v>
      </c>
      <c r="T54" s="130">
        <f t="shared" si="60"/>
        <v>124.03248985511527</v>
      </c>
      <c r="V54" s="132">
        <f t="shared" si="61"/>
        <v>109.223481872264</v>
      </c>
      <c r="W54" s="130">
        <f t="shared" si="62"/>
        <v>-6.549586135468944</v>
      </c>
      <c r="X54" s="130">
        <f t="shared" si="63"/>
        <v>109.41967862704912</v>
      </c>
      <c r="Y54" s="130">
        <f t="shared" si="64"/>
        <v>238.36060745349565</v>
      </c>
      <c r="Z54" s="130">
        <f t="shared" si="65"/>
        <v>-31.628009270779966</v>
      </c>
      <c r="AA54" s="130">
        <f t="shared" si="66"/>
        <v>240.44980797670019</v>
      </c>
      <c r="AB54" s="130">
        <f t="shared" si="67"/>
        <v>290.0899358843418</v>
      </c>
      <c r="AC54" s="133">
        <f t="shared" si="68"/>
        <v>190.99751153007838</v>
      </c>
    </row>
    <row r="55" spans="1:29" ht="12.75">
      <c r="A55" s="24">
        <v>27.1</v>
      </c>
      <c r="B55" s="135">
        <v>3.1</v>
      </c>
      <c r="C55" s="135">
        <v>0</v>
      </c>
      <c r="D55" s="136">
        <v>1</v>
      </c>
      <c r="E55" s="137">
        <f t="shared" si="51"/>
        <v>240.64258935018944</v>
      </c>
      <c r="F55" s="73">
        <f t="shared" si="52"/>
        <v>0</v>
      </c>
      <c r="G55" s="73">
        <f t="shared" si="53"/>
        <v>240.64258935018944</v>
      </c>
      <c r="H55" s="74">
        <f t="shared" si="54"/>
        <v>4.812851787003789</v>
      </c>
      <c r="I55" s="138">
        <f t="shared" si="55"/>
        <v>210.96770763592323</v>
      </c>
      <c r="J55" s="139">
        <f t="shared" si="56"/>
        <v>68.15933276858114</v>
      </c>
      <c r="K55" s="139">
        <f t="shared" si="20"/>
        <v>221.70491268488968</v>
      </c>
      <c r="L55" s="140">
        <f t="shared" si="57"/>
        <v>2.1029477587668564</v>
      </c>
      <c r="N55" s="130">
        <f t="shared" si="58"/>
        <v>528.303249097473</v>
      </c>
      <c r="O55" s="130">
        <f t="shared" si="22"/>
        <v>9.220631145734664</v>
      </c>
      <c r="P55" s="130">
        <f t="shared" si="48"/>
        <v>250.9569629035511</v>
      </c>
      <c r="Q55" s="130">
        <f t="shared" si="49"/>
        <v>1.1895515466122388</v>
      </c>
      <c r="R55" s="131">
        <f t="shared" si="50"/>
        <v>81.07903971092395</v>
      </c>
      <c r="S55" s="130">
        <f t="shared" si="59"/>
        <v>332.46062554190894</v>
      </c>
      <c r="T55" s="130">
        <f t="shared" si="60"/>
        <v>118.17366269981954</v>
      </c>
      <c r="V55" s="132">
        <f t="shared" si="61"/>
        <v>109.223481872264</v>
      </c>
      <c r="W55" s="130">
        <f t="shared" si="62"/>
        <v>0</v>
      </c>
      <c r="X55" s="130">
        <f t="shared" si="63"/>
        <v>109.223481872264</v>
      </c>
      <c r="Y55" s="130">
        <f t="shared" si="64"/>
        <v>240.64258935018944</v>
      </c>
      <c r="Z55" s="130">
        <f t="shared" si="65"/>
        <v>0</v>
      </c>
      <c r="AA55" s="130">
        <f t="shared" si="66"/>
        <v>240.64258935018944</v>
      </c>
      <c r="AB55" s="130">
        <f t="shared" si="67"/>
        <v>290.64258935018944</v>
      </c>
      <c r="AC55" s="133">
        <f t="shared" si="68"/>
        <v>190.64258935018944</v>
      </c>
    </row>
    <row r="56" spans="1:29" ht="12.75">
      <c r="A56" s="24">
        <v>27.7</v>
      </c>
      <c r="B56" s="135">
        <v>3.2</v>
      </c>
      <c r="C56" s="135">
        <v>25</v>
      </c>
      <c r="D56" s="136">
        <v>1</v>
      </c>
      <c r="E56" s="137">
        <f t="shared" si="51"/>
        <v>258.6039684134091</v>
      </c>
      <c r="F56" s="73">
        <f t="shared" si="52"/>
        <v>20.508660237908344</v>
      </c>
      <c r="G56" s="73">
        <f t="shared" si="53"/>
        <v>259.4159162887225</v>
      </c>
      <c r="H56" s="74">
        <f t="shared" si="54"/>
        <v>5.205862993684567</v>
      </c>
      <c r="I56" s="138">
        <f t="shared" si="55"/>
        <v>258.60396841340923</v>
      </c>
      <c r="J56" s="139">
        <f t="shared" si="56"/>
        <v>20.508660237907687</v>
      </c>
      <c r="K56" s="139">
        <f t="shared" si="20"/>
        <v>259.41591628872254</v>
      </c>
      <c r="L56" s="140">
        <f t="shared" si="57"/>
        <v>2.277550811493356</v>
      </c>
      <c r="N56" s="130">
        <f t="shared" si="58"/>
        <v>540.0000000000001</v>
      </c>
      <c r="O56" s="130">
        <f t="shared" si="22"/>
        <v>9.424777960769381</v>
      </c>
      <c r="P56" s="130">
        <f t="shared" si="48"/>
        <v>258.6039684134091</v>
      </c>
      <c r="Q56" s="130">
        <f t="shared" si="49"/>
        <v>0.9999999999999996</v>
      </c>
      <c r="R56" s="131">
        <f t="shared" si="50"/>
        <v>20.508660237907677</v>
      </c>
      <c r="S56" s="130">
        <f t="shared" si="59"/>
        <v>373.5983868603234</v>
      </c>
      <c r="T56" s="130">
        <f t="shared" si="60"/>
        <v>145.62426328595834</v>
      </c>
      <c r="V56" s="132">
        <f t="shared" si="61"/>
        <v>112.95285666180267</v>
      </c>
      <c r="W56" s="130">
        <f t="shared" si="62"/>
        <v>3.8927275173386784</v>
      </c>
      <c r="X56" s="130">
        <f t="shared" si="63"/>
        <v>113.01991486276206</v>
      </c>
      <c r="Y56" s="130">
        <f t="shared" si="64"/>
        <v>258.6039684134091</v>
      </c>
      <c r="Z56" s="130">
        <f t="shared" si="65"/>
        <v>20.508660237908344</v>
      </c>
      <c r="AA56" s="130">
        <f t="shared" si="66"/>
        <v>259.4159162887225</v>
      </c>
      <c r="AB56" s="130">
        <f t="shared" si="67"/>
        <v>309.2846819117597</v>
      </c>
      <c r="AC56" s="133">
        <f t="shared" si="68"/>
        <v>209.6096867574983</v>
      </c>
    </row>
    <row r="57" spans="1:29" ht="12.75">
      <c r="A57" s="24">
        <v>28</v>
      </c>
      <c r="B57" s="135">
        <v>3.4</v>
      </c>
      <c r="C57" s="135">
        <v>-20</v>
      </c>
      <c r="D57" s="136">
        <v>1</v>
      </c>
      <c r="E57" s="137">
        <f t="shared" si="51"/>
        <v>301.3526163777269</v>
      </c>
      <c r="F57" s="73">
        <f t="shared" si="52"/>
        <v>-24.865268545716017</v>
      </c>
      <c r="G57" s="73">
        <f t="shared" si="53"/>
        <v>302.37672029697</v>
      </c>
      <c r="H57" s="74">
        <f t="shared" si="54"/>
        <v>6.06923938363784</v>
      </c>
      <c r="I57" s="138">
        <f t="shared" si="55"/>
        <v>272.4294523261815</v>
      </c>
      <c r="J57" s="139">
        <f t="shared" si="56"/>
        <v>-84.74481222096429</v>
      </c>
      <c r="K57" s="139">
        <f t="shared" si="20"/>
        <v>285.305958039978</v>
      </c>
      <c r="L57" s="140">
        <f t="shared" si="57"/>
        <v>2.6544081892184335</v>
      </c>
      <c r="N57" s="130">
        <f t="shared" si="58"/>
        <v>545.8483754512636</v>
      </c>
      <c r="O57" s="130">
        <f t="shared" si="22"/>
        <v>9.526851368286739</v>
      </c>
      <c r="P57" s="130">
        <f t="shared" si="48"/>
        <v>304.5143418024903</v>
      </c>
      <c r="Q57" s="130">
        <f t="shared" si="49"/>
        <v>1.1177732040436412</v>
      </c>
      <c r="R57" s="131">
        <f t="shared" si="50"/>
        <v>-94.72548028230398</v>
      </c>
      <c r="S57" s="130">
        <f t="shared" si="59"/>
        <v>396.0337825561902</v>
      </c>
      <c r="T57" s="130">
        <f t="shared" si="60"/>
        <v>179.29073577526134</v>
      </c>
      <c r="V57" s="132">
        <f t="shared" si="61"/>
        <v>120.41160624088</v>
      </c>
      <c r="W57" s="130">
        <f t="shared" si="62"/>
        <v>-3.947295215572801</v>
      </c>
      <c r="X57" s="130">
        <f t="shared" si="63"/>
        <v>120.47628836010685</v>
      </c>
      <c r="Y57" s="130">
        <f t="shared" si="64"/>
        <v>301.3526163777269</v>
      </c>
      <c r="Z57" s="130">
        <f t="shared" si="65"/>
        <v>-24.865268545716017</v>
      </c>
      <c r="AA57" s="130">
        <f t="shared" si="66"/>
        <v>302.37672029697</v>
      </c>
      <c r="AB57" s="130">
        <f t="shared" si="67"/>
        <v>352.23137653440915</v>
      </c>
      <c r="AC57" s="133">
        <f t="shared" si="68"/>
        <v>252.5795307220665</v>
      </c>
    </row>
    <row r="58" spans="1:29" ht="12.75">
      <c r="A58" s="24">
        <v>28.25</v>
      </c>
      <c r="B58" s="135">
        <v>3.8</v>
      </c>
      <c r="C58" s="135">
        <v>0</v>
      </c>
      <c r="D58" s="136">
        <v>1</v>
      </c>
      <c r="E58" s="137">
        <f t="shared" si="51"/>
        <v>418.5162621734158</v>
      </c>
      <c r="F58" s="73">
        <f t="shared" si="52"/>
        <v>0</v>
      </c>
      <c r="G58" s="73">
        <f t="shared" si="53"/>
        <v>418.5162621734158</v>
      </c>
      <c r="H58" s="74">
        <f t="shared" si="54"/>
        <v>8.370325243468315</v>
      </c>
      <c r="I58" s="138">
        <f t="shared" si="55"/>
        <v>293.00166762278445</v>
      </c>
      <c r="J58" s="139">
        <f t="shared" si="56"/>
        <v>-181.24266632328272</v>
      </c>
      <c r="K58" s="139">
        <f t="shared" si="20"/>
        <v>344.5270400501323</v>
      </c>
      <c r="L58" s="140">
        <f t="shared" si="57"/>
        <v>3.6573652150338862</v>
      </c>
      <c r="N58" s="130">
        <f aca="true" t="shared" si="69" ref="N58:N64">$AF$8/(299.79/A58)/$AF$7*360</f>
        <v>550.72202166065</v>
      </c>
      <c r="O58" s="130">
        <f t="shared" si="22"/>
        <v>9.61191254121787</v>
      </c>
      <c r="P58" s="130">
        <f t="shared" si="48"/>
        <v>433.5215125937238</v>
      </c>
      <c r="Q58" s="130">
        <f t="shared" si="49"/>
        <v>1.4795871849843771</v>
      </c>
      <c r="R58" s="131">
        <f t="shared" si="50"/>
        <v>-268.16432646432867</v>
      </c>
      <c r="S58" s="130">
        <f aca="true" t="shared" si="70" ref="S58:S64">SQRT((I58+$AF$6)^2+J58^2)</f>
        <v>445.926395616</v>
      </c>
      <c r="T58" s="130">
        <f aca="true" t="shared" si="71" ref="T58:T64">SQRT((I58-$AF$6)^2+J58^2)</f>
        <v>254.43340546931444</v>
      </c>
      <c r="V58" s="132">
        <f aca="true" t="shared" si="72" ref="V58:V64">B58*$AF$2+$AF$3</f>
        <v>135.3291053990347</v>
      </c>
      <c r="W58" s="130">
        <f aca="true" t="shared" si="73" ref="W58:W64">1000000/2/PI()/180*C58/A58/(C58+180)</f>
        <v>0</v>
      </c>
      <c r="X58" s="130">
        <f aca="true" t="shared" si="74" ref="X58:X64">SQRT(V58^2+W58^2)</f>
        <v>135.3291053990347</v>
      </c>
      <c r="Y58" s="130">
        <f aca="true" t="shared" si="75" ref="Y58:Y64">$AF$4*($AF$4*V58-V58^2-W58^2)/(W58^2+($AF$4-V58)^2)</f>
        <v>418.5162621734158</v>
      </c>
      <c r="Z58" s="130">
        <f aca="true" t="shared" si="76" ref="Z58:Z64">$AF$4^2*W58/(W58^2+($AF$4-V58)^2)</f>
        <v>0</v>
      </c>
      <c r="AA58" s="130">
        <f aca="true" t="shared" si="77" ref="AA58:AA64">SQRT(Y58^2+Z58^2)</f>
        <v>418.5162621734158</v>
      </c>
      <c r="AB58" s="130">
        <f aca="true" t="shared" si="78" ref="AB58:AB64">SQRT((E58+$AF$5)^2+F58^2)</f>
        <v>468.5162621734158</v>
      </c>
      <c r="AC58" s="133">
        <f aca="true" t="shared" si="79" ref="AC58:AC64">SQRT((E58-$AF$5)^2+F58^2)</f>
        <v>368.5162621734158</v>
      </c>
    </row>
    <row r="59" spans="1:29" ht="12.75">
      <c r="A59" s="24">
        <v>29</v>
      </c>
      <c r="B59" s="135">
        <v>3.4</v>
      </c>
      <c r="C59" s="135">
        <v>-100</v>
      </c>
      <c r="D59" s="136">
        <v>1</v>
      </c>
      <c r="E59" s="137">
        <f t="shared" si="51"/>
        <v>208.83628391404892</v>
      </c>
      <c r="F59" s="73">
        <f t="shared" si="52"/>
        <v>-195.77594721290538</v>
      </c>
      <c r="G59" s="73">
        <f t="shared" si="53"/>
        <v>286.25306109479345</v>
      </c>
      <c r="H59" s="74">
        <f t="shared" si="54"/>
        <v>7.961185972180338</v>
      </c>
      <c r="I59" s="138">
        <f t="shared" si="55"/>
        <v>63.53499651265598</v>
      </c>
      <c r="J59" s="139">
        <f t="shared" si="56"/>
        <v>-108.54377468147864</v>
      </c>
      <c r="K59" s="139">
        <f>IF(B59&gt;0,SQRT(I59^2+J59^2),"")</f>
        <v>125.77140694119157</v>
      </c>
      <c r="L59" s="140">
        <f t="shared" si="57"/>
        <v>3.7070548777198726</v>
      </c>
      <c r="N59" s="130">
        <f t="shared" si="69"/>
        <v>565.3429602888087</v>
      </c>
      <c r="O59" s="130">
        <f t="shared" si="22"/>
        <v>9.867096060011265</v>
      </c>
      <c r="P59" s="130">
        <f t="shared" si="48"/>
        <v>255.68069279548658</v>
      </c>
      <c r="Q59" s="130">
        <f t="shared" si="49"/>
        <v>4.024249733681118</v>
      </c>
      <c r="R59" s="131">
        <f t="shared" si="50"/>
        <v>-436.80725635468366</v>
      </c>
      <c r="S59" s="130">
        <f t="shared" si="70"/>
        <v>208.45545435198895</v>
      </c>
      <c r="T59" s="130">
        <f t="shared" si="71"/>
        <v>119.88395486143442</v>
      </c>
      <c r="V59" s="132">
        <f t="shared" si="72"/>
        <v>120.41160624088</v>
      </c>
      <c r="W59" s="130">
        <f t="shared" si="73"/>
        <v>-38.11181587449601</v>
      </c>
      <c r="X59" s="130">
        <f t="shared" si="74"/>
        <v>126.29911094999925</v>
      </c>
      <c r="Y59" s="130">
        <f t="shared" si="75"/>
        <v>208.83628391404892</v>
      </c>
      <c r="Z59" s="130">
        <f t="shared" si="76"/>
        <v>-195.77594721290538</v>
      </c>
      <c r="AA59" s="130">
        <f t="shared" si="77"/>
        <v>286.25306109479345</v>
      </c>
      <c r="AB59" s="130">
        <f t="shared" si="78"/>
        <v>324.5372757905391</v>
      </c>
      <c r="AC59" s="133">
        <f t="shared" si="79"/>
        <v>252.10550687110083</v>
      </c>
    </row>
    <row r="60" spans="1:29" ht="12.75">
      <c r="A60" s="24">
        <v>30</v>
      </c>
      <c r="B60" s="135">
        <v>2.6</v>
      </c>
      <c r="C60" s="135">
        <v>-125</v>
      </c>
      <c r="D60" s="136">
        <v>0</v>
      </c>
      <c r="E60" s="137">
        <f t="shared" si="51"/>
        <v>90.57660792457065</v>
      </c>
      <c r="F60" s="73">
        <f t="shared" si="52"/>
        <v>-66.98440365820511</v>
      </c>
      <c r="G60" s="73">
        <f t="shared" si="53"/>
        <v>112.65448165326916</v>
      </c>
      <c r="H60" s="74">
        <f t="shared" si="54"/>
        <v>3.023558701791778</v>
      </c>
      <c r="I60" s="138">
        <f t="shared" si="55"/>
        <v>57.6905669428889</v>
      </c>
      <c r="J60" s="139">
        <f t="shared" si="56"/>
        <v>0.8808250018884981</v>
      </c>
      <c r="K60" s="139">
        <f>IF(B60&gt;0,SQRT(I60^2+J60^2),"")</f>
        <v>57.69729081053891</v>
      </c>
      <c r="L60" s="140">
        <f t="shared" si="57"/>
        <v>1.98368952455126</v>
      </c>
      <c r="N60" s="130">
        <f t="shared" si="69"/>
        <v>584.8375451263539</v>
      </c>
      <c r="O60" s="130">
        <f t="shared" si="22"/>
        <v>10.207340751735792</v>
      </c>
      <c r="P60" s="130">
        <f t="shared" si="48"/>
        <v>180.13174018367715</v>
      </c>
      <c r="Q60" s="130">
        <f t="shared" si="49"/>
        <v>3.122377707988198</v>
      </c>
      <c r="R60" s="131">
        <f t="shared" si="50"/>
        <v>2.750268350535309</v>
      </c>
      <c r="S60" s="130">
        <f t="shared" si="70"/>
        <v>172.1239036352036</v>
      </c>
      <c r="T60" s="130">
        <f t="shared" si="71"/>
        <v>56.74735240969321</v>
      </c>
      <c r="V60" s="132">
        <f t="shared" si="72"/>
        <v>90.57660792457065</v>
      </c>
      <c r="W60" s="130">
        <f t="shared" si="73"/>
        <v>-66.98440365820511</v>
      </c>
      <c r="X60" s="130">
        <f t="shared" si="74"/>
        <v>112.65448165326916</v>
      </c>
      <c r="Y60" s="130">
        <f t="shared" si="75"/>
        <v>65.90718270819289</v>
      </c>
      <c r="Z60" s="130">
        <f t="shared" si="76"/>
        <v>-162.77720626558087</v>
      </c>
      <c r="AA60" s="130">
        <f t="shared" si="77"/>
        <v>175.61371134441234</v>
      </c>
      <c r="AB60" s="130">
        <f t="shared" si="78"/>
        <v>155.7199185365309</v>
      </c>
      <c r="AC60" s="133">
        <f t="shared" si="79"/>
        <v>78.31584414478141</v>
      </c>
    </row>
    <row r="61" spans="1:29" ht="12.75">
      <c r="A61" s="24">
        <v>31</v>
      </c>
      <c r="B61" s="135">
        <v>1.9</v>
      </c>
      <c r="C61" s="135">
        <v>-110</v>
      </c>
      <c r="D61" s="136">
        <v>0</v>
      </c>
      <c r="E61" s="137">
        <f t="shared" si="51"/>
        <v>64.47098439779997</v>
      </c>
      <c r="F61" s="73">
        <f t="shared" si="52"/>
        <v>-44.82090051231051</v>
      </c>
      <c r="G61" s="73">
        <f t="shared" si="53"/>
        <v>78.520194548637</v>
      </c>
      <c r="H61" s="74">
        <f t="shared" si="54"/>
        <v>2.2421637608081912</v>
      </c>
      <c r="I61" s="138">
        <f t="shared" si="55"/>
        <v>73.60048718154773</v>
      </c>
      <c r="J61" s="139">
        <f t="shared" si="56"/>
        <v>58.955178597430745</v>
      </c>
      <c r="K61" s="139">
        <f>IF(B61&gt;0,SQRT(I61^2+J61^2),"")</f>
        <v>94.30135098086416</v>
      </c>
      <c r="L61" s="140">
        <f t="shared" si="57"/>
        <v>2.144272981963002</v>
      </c>
      <c r="N61" s="130">
        <f t="shared" si="69"/>
        <v>604.332129963899</v>
      </c>
      <c r="O61" s="130">
        <f t="shared" si="22"/>
        <v>10.547585443460317</v>
      </c>
      <c r="P61" s="130">
        <f t="shared" si="48"/>
        <v>343.62140719756803</v>
      </c>
      <c r="Q61" s="130">
        <f t="shared" si="49"/>
        <v>4.668738215685573</v>
      </c>
      <c r="R61" s="131">
        <f t="shared" si="50"/>
        <v>275.2462953303931</v>
      </c>
      <c r="S61" s="130">
        <f t="shared" si="70"/>
        <v>197.05731256813485</v>
      </c>
      <c r="T61" s="130">
        <f t="shared" si="71"/>
        <v>71.71367116133183</v>
      </c>
      <c r="V61" s="132">
        <f t="shared" si="72"/>
        <v>64.47098439779997</v>
      </c>
      <c r="W61" s="130">
        <f t="shared" si="73"/>
        <v>-44.82090051231051</v>
      </c>
      <c r="X61" s="130">
        <f t="shared" si="74"/>
        <v>78.520194548637</v>
      </c>
      <c r="Y61" s="130">
        <f t="shared" si="75"/>
        <v>66.04276339160897</v>
      </c>
      <c r="Z61" s="130">
        <f t="shared" si="76"/>
        <v>-87.98319811452907</v>
      </c>
      <c r="AA61" s="130">
        <f t="shared" si="77"/>
        <v>110.01222544272304</v>
      </c>
      <c r="AB61" s="130">
        <f t="shared" si="78"/>
        <v>122.9329874026325</v>
      </c>
      <c r="AC61" s="133">
        <f t="shared" si="79"/>
        <v>47.099071245363284</v>
      </c>
    </row>
    <row r="62" spans="1:29" ht="12.75">
      <c r="A62" s="24">
        <v>32</v>
      </c>
      <c r="B62" s="135">
        <v>1.75</v>
      </c>
      <c r="C62" s="135">
        <v>-55</v>
      </c>
      <c r="D62" s="136">
        <v>0</v>
      </c>
      <c r="E62" s="137">
        <f t="shared" si="51"/>
        <v>58.87692221349197</v>
      </c>
      <c r="F62" s="73">
        <f t="shared" si="52"/>
        <v>-12.157669263964227</v>
      </c>
      <c r="G62" s="73">
        <f t="shared" si="53"/>
        <v>60.11905597450383</v>
      </c>
      <c r="H62" s="74">
        <f t="shared" si="54"/>
        <v>1.3185928853492743</v>
      </c>
      <c r="I62" s="138">
        <f t="shared" si="55"/>
        <v>191.71465078704614</v>
      </c>
      <c r="J62" s="139">
        <f t="shared" si="56"/>
        <v>67.51310866136413</v>
      </c>
      <c r="K62" s="139">
        <f>IF(B62&gt;0,SQRT(I62^2+J62^2),"")</f>
        <v>203.2548330729683</v>
      </c>
      <c r="L62" s="140">
        <f t="shared" si="57"/>
        <v>1.9732412122333434</v>
      </c>
      <c r="N62" s="130">
        <f t="shared" si="69"/>
        <v>623.826714801444</v>
      </c>
      <c r="O62" s="130">
        <f t="shared" si="22"/>
        <v>10.887830135184842</v>
      </c>
      <c r="P62" s="130">
        <f t="shared" si="48"/>
        <v>5091.419463251837</v>
      </c>
      <c r="Q62" s="130">
        <f t="shared" si="49"/>
        <v>26.55727896824804</v>
      </c>
      <c r="R62" s="131">
        <f t="shared" si="50"/>
        <v>1792.9644607334901</v>
      </c>
      <c r="S62" s="130">
        <f t="shared" si="70"/>
        <v>313.5015631624917</v>
      </c>
      <c r="T62" s="130">
        <f t="shared" si="71"/>
        <v>102.61953860787732</v>
      </c>
      <c r="V62" s="132">
        <f t="shared" si="72"/>
        <v>58.87692221349197</v>
      </c>
      <c r="W62" s="130">
        <f t="shared" si="73"/>
        <v>-12.157669263964227</v>
      </c>
      <c r="X62" s="130">
        <f t="shared" si="74"/>
        <v>60.11905597450383</v>
      </c>
      <c r="Y62" s="130">
        <f t="shared" si="75"/>
        <v>81.35241142033905</v>
      </c>
      <c r="Z62" s="130">
        <f t="shared" si="76"/>
        <v>-24.238343000440832</v>
      </c>
      <c r="AA62" s="130">
        <f t="shared" si="77"/>
        <v>84.88646603146542</v>
      </c>
      <c r="AB62" s="130">
        <f t="shared" si="78"/>
        <v>109.55360839613967</v>
      </c>
      <c r="AC62" s="133">
        <f t="shared" si="79"/>
        <v>15.053526826505731</v>
      </c>
    </row>
    <row r="63" spans="1:29" ht="12.75">
      <c r="A63" s="24">
        <v>33</v>
      </c>
      <c r="B63" s="135">
        <v>1.75</v>
      </c>
      <c r="C63" s="135">
        <v>110</v>
      </c>
      <c r="D63" s="136">
        <v>1</v>
      </c>
      <c r="E63" s="137">
        <f t="shared" si="51"/>
        <v>81.97809704063958</v>
      </c>
      <c r="F63" s="73">
        <f t="shared" si="52"/>
        <v>20.306997236953315</v>
      </c>
      <c r="G63" s="73">
        <f t="shared" si="53"/>
        <v>84.45580223517003</v>
      </c>
      <c r="H63" s="74">
        <f t="shared" si="54"/>
        <v>1.7920743086828257</v>
      </c>
      <c r="I63" s="138">
        <f t="shared" si="55"/>
        <v>126.41863745907268</v>
      </c>
      <c r="J63" s="139">
        <f t="shared" si="56"/>
        <v>-46.003896798043826</v>
      </c>
      <c r="K63" s="139">
        <f t="shared" si="20"/>
        <v>134.52892037630244</v>
      </c>
      <c r="L63" s="140">
        <f t="shared" si="57"/>
        <v>1.4810196748963431</v>
      </c>
      <c r="N63" s="130">
        <f t="shared" si="69"/>
        <v>643.3212996389891</v>
      </c>
      <c r="O63" s="130">
        <f t="shared" si="22"/>
        <v>11.228074826909369</v>
      </c>
      <c r="P63" s="130">
        <f t="shared" si="48"/>
        <v>1544.150166628344</v>
      </c>
      <c r="Q63" s="130">
        <f t="shared" si="49"/>
        <v>12.214576882528528</v>
      </c>
      <c r="R63" s="131">
        <f t="shared" si="50"/>
        <v>-561.9181343356142</v>
      </c>
      <c r="S63" s="130">
        <f t="shared" si="70"/>
        <v>245.2038872552049</v>
      </c>
      <c r="T63" s="130">
        <f t="shared" si="71"/>
        <v>47.54008818400287</v>
      </c>
      <c r="V63" s="132">
        <f t="shared" si="72"/>
        <v>58.87692221349197</v>
      </c>
      <c r="W63" s="130">
        <f t="shared" si="73"/>
        <v>10.1631508998656</v>
      </c>
      <c r="X63" s="130">
        <f t="shared" si="74"/>
        <v>59.747649372565476</v>
      </c>
      <c r="Y63" s="130">
        <f t="shared" si="75"/>
        <v>81.97809704063958</v>
      </c>
      <c r="Z63" s="130">
        <f t="shared" si="76"/>
        <v>20.306997236953315</v>
      </c>
      <c r="AA63" s="130">
        <f t="shared" si="77"/>
        <v>84.45580223517003</v>
      </c>
      <c r="AB63" s="130">
        <f t="shared" si="78"/>
        <v>133.53124067142528</v>
      </c>
      <c r="AC63" s="133">
        <f t="shared" si="79"/>
        <v>37.88103519074144</v>
      </c>
    </row>
    <row r="64" spans="1:29" ht="13.5" thickBot="1">
      <c r="A64" s="26">
        <v>34</v>
      </c>
      <c r="B64" s="142">
        <v>3.5</v>
      </c>
      <c r="C64" s="142">
        <v>150</v>
      </c>
      <c r="D64" s="143">
        <v>0</v>
      </c>
      <c r="E64" s="144">
        <f t="shared" si="51"/>
        <v>124.14098103041869</v>
      </c>
      <c r="F64" s="75">
        <f t="shared" si="52"/>
        <v>11.820777116153844</v>
      </c>
      <c r="G64" s="75">
        <f t="shared" si="53"/>
        <v>124.70250175046432</v>
      </c>
      <c r="H64" s="145">
        <f t="shared" si="54"/>
        <v>2.5096347751806283</v>
      </c>
      <c r="I64" s="146">
        <f t="shared" si="55"/>
        <v>101.20868598034457</v>
      </c>
      <c r="J64" s="147">
        <f t="shared" si="56"/>
        <v>3.994047633594967</v>
      </c>
      <c r="K64" s="147">
        <f t="shared" si="20"/>
        <v>101.28746484322441</v>
      </c>
      <c r="L64" s="148">
        <f t="shared" si="57"/>
        <v>1.136849022189048</v>
      </c>
      <c r="N64" s="130">
        <f t="shared" si="69"/>
        <v>662.8158844765344</v>
      </c>
      <c r="O64" s="130">
        <f t="shared" si="22"/>
        <v>11.568319518633897</v>
      </c>
      <c r="P64" s="130">
        <f>E64*(1+TAN(O64)^2)</f>
        <v>422.6791209382105</v>
      </c>
      <c r="Q64" s="130">
        <f t="shared" si="49"/>
        <v>4.176312703242662</v>
      </c>
      <c r="R64" s="131">
        <f t="shared" si="50"/>
        <v>16.68039186953895</v>
      </c>
      <c r="S64" s="130">
        <f t="shared" si="70"/>
        <v>215.67675430121443</v>
      </c>
      <c r="T64" s="130">
        <f t="shared" si="71"/>
        <v>13.81246528348203</v>
      </c>
      <c r="V64" s="149">
        <f t="shared" si="72"/>
        <v>124.14098103041869</v>
      </c>
      <c r="W64" s="150">
        <f t="shared" si="73"/>
        <v>11.820777116153844</v>
      </c>
      <c r="X64" s="150">
        <f t="shared" si="74"/>
        <v>124.70250175046432</v>
      </c>
      <c r="Y64" s="150">
        <f t="shared" si="75"/>
        <v>314.79389833099077</v>
      </c>
      <c r="Z64" s="150">
        <f t="shared" si="76"/>
        <v>80.2180678788732</v>
      </c>
      <c r="AA64" s="150">
        <f t="shared" si="77"/>
        <v>324.8540238947975</v>
      </c>
      <c r="AB64" s="150">
        <f t="shared" si="78"/>
        <v>174.5417200724985</v>
      </c>
      <c r="AC64" s="151">
        <f t="shared" si="79"/>
        <v>75.07739899452224</v>
      </c>
    </row>
  </sheetData>
  <sheetProtection sheet="1" objects="1" scenarios="1"/>
  <mergeCells count="16">
    <mergeCell ref="A1:L1"/>
    <mergeCell ref="AE13:AG13"/>
    <mergeCell ref="E2:G2"/>
    <mergeCell ref="E3:G3"/>
    <mergeCell ref="V3:X3"/>
    <mergeCell ref="Y3:AA3"/>
    <mergeCell ref="I2:K2"/>
    <mergeCell ref="I3:K3"/>
    <mergeCell ref="AE17:AG17"/>
    <mergeCell ref="AE12:AG12"/>
    <mergeCell ref="N2:T2"/>
    <mergeCell ref="N3:O3"/>
    <mergeCell ref="AE15:AG15"/>
    <mergeCell ref="AE16:AG16"/>
    <mergeCell ref="V2:AC2"/>
    <mergeCell ref="AE11:AG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6.140625" style="2" bestFit="1" customWidth="1"/>
    <col min="2" max="2" width="5.28125" style="122" bestFit="1" customWidth="1"/>
    <col min="3" max="3" width="6.57421875" style="122" bestFit="1" customWidth="1"/>
    <col min="4" max="4" width="11.28125" style="123" bestFit="1" customWidth="1"/>
    <col min="5" max="5" width="6.57421875" style="122" bestFit="1" customWidth="1"/>
    <col min="6" max="6" width="6.28125" style="122" bestFit="1" customWidth="1"/>
    <col min="7" max="7" width="6.57421875" style="122" bestFit="1" customWidth="1"/>
    <col min="8" max="8" width="5.57421875" style="122" bestFit="1" customWidth="1"/>
    <col min="9" max="9" width="9.140625" style="122" hidden="1" customWidth="1"/>
    <col min="10" max="10" width="5.57421875" style="122" hidden="1" customWidth="1"/>
    <col min="11" max="11" width="6.28125" style="122" hidden="1" customWidth="1"/>
    <col min="12" max="12" width="5.57421875" style="122" hidden="1" customWidth="1"/>
    <col min="13" max="13" width="6.57421875" style="122" hidden="1" customWidth="1"/>
    <col min="14" max="14" width="6.28125" style="122" hidden="1" customWidth="1"/>
    <col min="15" max="17" width="6.57421875" style="122" hidden="1" customWidth="1"/>
    <col min="18" max="18" width="8.00390625" style="122" customWidth="1"/>
    <col min="19" max="19" width="16.7109375" style="2" bestFit="1" customWidth="1"/>
    <col min="20" max="20" width="5.57421875" style="122" bestFit="1" customWidth="1"/>
    <col min="21" max="21" width="5.7109375" style="2" bestFit="1" customWidth="1"/>
    <col min="22" max="16384" width="0" style="122" hidden="1" customWidth="1"/>
  </cols>
  <sheetData>
    <row r="1" spans="1:16" ht="13.5" thickBot="1">
      <c r="A1" s="217" t="s">
        <v>54</v>
      </c>
      <c r="B1" s="217"/>
      <c r="C1" s="217"/>
      <c r="D1" s="217"/>
      <c r="E1" s="217"/>
      <c r="F1" s="217"/>
      <c r="G1" s="217"/>
      <c r="H1" s="217"/>
      <c r="L1" s="121"/>
      <c r="M1" s="121"/>
      <c r="N1" s="121"/>
      <c r="O1" s="121"/>
      <c r="P1" s="121"/>
    </row>
    <row r="2" spans="1:21" s="2" customFormat="1" ht="15">
      <c r="A2" s="156"/>
      <c r="B2" s="4"/>
      <c r="C2" s="5" t="s">
        <v>49</v>
      </c>
      <c r="D2" s="5" t="s">
        <v>37</v>
      </c>
      <c r="E2" s="240" t="s">
        <v>17</v>
      </c>
      <c r="F2" s="228"/>
      <c r="G2" s="229"/>
      <c r="H2" s="157"/>
      <c r="J2" s="223" t="s">
        <v>42</v>
      </c>
      <c r="K2" s="224"/>
      <c r="L2" s="224"/>
      <c r="M2" s="224"/>
      <c r="N2" s="224"/>
      <c r="O2" s="224"/>
      <c r="P2" s="224"/>
      <c r="Q2" s="225"/>
      <c r="S2" s="6" t="s">
        <v>3</v>
      </c>
      <c r="T2" s="158">
        <f>'Resistance Calibration'!B17</f>
        <v>37.293747895386694</v>
      </c>
      <c r="U2" s="7"/>
    </row>
    <row r="3" spans="1:21" s="1" customFormat="1" ht="15.75" thickBot="1">
      <c r="A3" s="8" t="s">
        <v>25</v>
      </c>
      <c r="B3" s="9"/>
      <c r="C3" s="9" t="s">
        <v>50</v>
      </c>
      <c r="D3" s="9" t="s">
        <v>38</v>
      </c>
      <c r="E3" s="231" t="s">
        <v>40</v>
      </c>
      <c r="F3" s="231"/>
      <c r="G3" s="231"/>
      <c r="H3" s="159" t="s">
        <v>35</v>
      </c>
      <c r="J3" s="232" t="s">
        <v>28</v>
      </c>
      <c r="K3" s="233"/>
      <c r="L3" s="233"/>
      <c r="M3" s="234" t="s">
        <v>29</v>
      </c>
      <c r="N3" s="234"/>
      <c r="O3" s="234"/>
      <c r="P3" s="119"/>
      <c r="Q3" s="160"/>
      <c r="S3" s="11" t="s">
        <v>4</v>
      </c>
      <c r="T3" s="161">
        <f>'Resistance Calibration'!B18</f>
        <v>-6.38713660343475</v>
      </c>
      <c r="U3" s="12"/>
    </row>
    <row r="4" spans="1:21" s="1" customFormat="1" ht="15.75" thickBot="1">
      <c r="A4" s="13" t="s">
        <v>41</v>
      </c>
      <c r="B4" s="14" t="s">
        <v>51</v>
      </c>
      <c r="C4" s="14" t="s">
        <v>52</v>
      </c>
      <c r="D4" s="14" t="s">
        <v>39</v>
      </c>
      <c r="E4" s="15" t="s">
        <v>32</v>
      </c>
      <c r="F4" s="15" t="s">
        <v>33</v>
      </c>
      <c r="G4" s="15" t="s">
        <v>34</v>
      </c>
      <c r="H4" s="16" t="str">
        <f>"("&amp;FIXED(T5,0)&amp;")"</f>
        <v>(50)</v>
      </c>
      <c r="J4" s="17" t="s">
        <v>32</v>
      </c>
      <c r="K4" s="10" t="s">
        <v>33</v>
      </c>
      <c r="L4" s="10" t="s">
        <v>34</v>
      </c>
      <c r="M4" s="10" t="s">
        <v>32</v>
      </c>
      <c r="N4" s="10" t="s">
        <v>33</v>
      </c>
      <c r="O4" s="10" t="s">
        <v>34</v>
      </c>
      <c r="P4" s="119" t="s">
        <v>26</v>
      </c>
      <c r="Q4" s="160" t="s">
        <v>27</v>
      </c>
      <c r="S4" s="11" t="s">
        <v>30</v>
      </c>
      <c r="T4" s="189">
        <f>'Transmission Lines'!I6</f>
        <v>200</v>
      </c>
      <c r="U4" s="162" t="s">
        <v>36</v>
      </c>
    </row>
    <row r="5" spans="1:21" ht="13.5" thickBot="1">
      <c r="A5" s="176">
        <v>1.8</v>
      </c>
      <c r="B5" s="124">
        <v>0.2</v>
      </c>
      <c r="C5" s="124">
        <v>-10</v>
      </c>
      <c r="D5" s="152">
        <v>0</v>
      </c>
      <c r="E5" s="71">
        <f>IF($D5=0,J5,M5)</f>
        <v>1.071612975642589</v>
      </c>
      <c r="F5" s="71">
        <f aca="true" t="shared" si="0" ref="F5:G7">IF($D5=0,K5,N5)</f>
        <v>-28.895232950598277</v>
      </c>
      <c r="G5" s="71">
        <f t="shared" si="0"/>
        <v>28.915097123110378</v>
      </c>
      <c r="H5" s="72">
        <f>(P5+Q5)/(P5-Q5)</f>
        <v>62.24676519235023</v>
      </c>
      <c r="I5" s="155"/>
      <c r="J5" s="132">
        <f aca="true" t="shared" si="1" ref="J5:J30">B5*$T$2+$T$3</f>
        <v>1.071612975642589</v>
      </c>
      <c r="K5" s="130">
        <f>1000000/2/PI()/180*C5/A5/(C5+180)</f>
        <v>-28.895232950598277</v>
      </c>
      <c r="L5" s="130">
        <f>SQRT(J5^2+K5^2)</f>
        <v>28.915097123110378</v>
      </c>
      <c r="M5" s="130">
        <f aca="true" t="shared" si="2" ref="M5:M30">$T$4*($T$4*J5-J5^2-K5^2)/(K5^2+($T$4-J5)^2)</f>
        <v>-3.077454462095173</v>
      </c>
      <c r="N5" s="130">
        <f aca="true" t="shared" si="3" ref="N5:N30">$T$4^2*K5/(K5^2+($T$4-J5)^2)</f>
        <v>-28.603875553697826</v>
      </c>
      <c r="O5" s="130">
        <f>SQRT(M5^2+N5^2)</f>
        <v>28.768948932098677</v>
      </c>
      <c r="P5" s="130">
        <f aca="true" t="shared" si="4" ref="P5:P30">SQRT((E5+$T$5)^2+F5^2)</f>
        <v>58.679162734340075</v>
      </c>
      <c r="Q5" s="133">
        <f aca="true" t="shared" si="5" ref="Q5:Q30">SQRT((E5-$T$5)^2+F5^2)</f>
        <v>56.823600238586145</v>
      </c>
      <c r="S5" s="22" t="s">
        <v>31</v>
      </c>
      <c r="T5" s="23">
        <v>50</v>
      </c>
      <c r="U5" s="163" t="s">
        <v>36</v>
      </c>
    </row>
    <row r="6" spans="1:17" ht="12.75">
      <c r="A6" s="24">
        <v>2</v>
      </c>
      <c r="B6" s="135">
        <v>0.25</v>
      </c>
      <c r="C6" s="135">
        <v>-10</v>
      </c>
      <c r="D6" s="153">
        <v>0</v>
      </c>
      <c r="E6" s="73">
        <f>IF($D6=0,J6,M6)</f>
        <v>2.9363003704119235</v>
      </c>
      <c r="F6" s="73">
        <f t="shared" si="0"/>
        <v>-26.005709655538453</v>
      </c>
      <c r="G6" s="73">
        <f t="shared" si="0"/>
        <v>26.170953260312228</v>
      </c>
      <c r="H6" s="74">
        <f>(P6+Q6)/(P6-Q6)</f>
        <v>21.64721743553981</v>
      </c>
      <c r="I6" s="155"/>
      <c r="J6" s="132">
        <f t="shared" si="1"/>
        <v>2.9363003704119235</v>
      </c>
      <c r="K6" s="130">
        <f>1000000/2/PI()/180*C6/A6/(C6+180)</f>
        <v>-26.005709655538453</v>
      </c>
      <c r="L6" s="130">
        <f>SQRT(J6^2+K6^2)</f>
        <v>26.170953260312228</v>
      </c>
      <c r="M6" s="130">
        <f t="shared" si="2"/>
        <v>-0.4943443944724087</v>
      </c>
      <c r="N6" s="130">
        <f t="shared" si="3"/>
        <v>-26.327964836077825</v>
      </c>
      <c r="O6" s="130">
        <f>SQRT(M6^2+N6^2)</f>
        <v>26.33260543110189</v>
      </c>
      <c r="P6" s="130">
        <f t="shared" si="4"/>
        <v>58.979223728315034</v>
      </c>
      <c r="Q6" s="133">
        <f t="shared" si="5"/>
        <v>53.77070538417973</v>
      </c>
    </row>
    <row r="7" spans="1:21" ht="12.75">
      <c r="A7" s="24">
        <v>3.5</v>
      </c>
      <c r="B7" s="135">
        <v>0.4</v>
      </c>
      <c r="C7" s="135">
        <v>5</v>
      </c>
      <c r="D7" s="153">
        <v>0</v>
      </c>
      <c r="E7" s="73">
        <f>IF($D7=0,J7,M7)</f>
        <v>8.530362554719929</v>
      </c>
      <c r="F7" s="73">
        <f t="shared" si="0"/>
        <v>6.827753886396196</v>
      </c>
      <c r="G7" s="73">
        <f t="shared" si="0"/>
        <v>10.92635842575953</v>
      </c>
      <c r="H7" s="74">
        <f>(P7+Q7)/(P7-Q7)</f>
        <v>5.973928303991121</v>
      </c>
      <c r="I7" s="155"/>
      <c r="J7" s="132">
        <f t="shared" si="1"/>
        <v>8.530362554719929</v>
      </c>
      <c r="K7" s="130">
        <f>1000000/2/PI()/180*C7/A7/(C7+180)</f>
        <v>6.827753886396196</v>
      </c>
      <c r="L7" s="130">
        <f>SQRT(J7^2+K7^2)</f>
        <v>10.92635842575953</v>
      </c>
      <c r="M7" s="130">
        <f t="shared" si="2"/>
        <v>8.645091214208014</v>
      </c>
      <c r="N7" s="130">
        <f t="shared" si="3"/>
        <v>7.440225778995515</v>
      </c>
      <c r="O7" s="130">
        <f>SQRT(M7^2+N7^2)</f>
        <v>11.405900303983286</v>
      </c>
      <c r="P7" s="130">
        <f t="shared" si="4"/>
        <v>58.92725654499927</v>
      </c>
      <c r="Q7" s="133">
        <f t="shared" si="5"/>
        <v>42.027955612617816</v>
      </c>
      <c r="S7" s="241" t="s">
        <v>46</v>
      </c>
      <c r="T7" s="241"/>
      <c r="U7" s="241"/>
    </row>
    <row r="8" spans="1:21" ht="12.75">
      <c r="A8" s="24">
        <v>4</v>
      </c>
      <c r="B8" s="135">
        <v>0.3</v>
      </c>
      <c r="C8" s="135">
        <v>10</v>
      </c>
      <c r="D8" s="153">
        <v>0</v>
      </c>
      <c r="E8" s="73">
        <f aca="true" t="shared" si="6" ref="E8:E30">IF($D8=0,J8,M8)</f>
        <v>4.800987765181257</v>
      </c>
      <c r="F8" s="73">
        <f aca="true" t="shared" si="7" ref="F8:F30">IF($D8=0,K8,N8)</f>
        <v>11.634133266951412</v>
      </c>
      <c r="G8" s="73">
        <f aca="true" t="shared" si="8" ref="G8:G30">IF($D8=0,L8,O8)</f>
        <v>12.58580710143794</v>
      </c>
      <c r="H8" s="74">
        <f aca="true" t="shared" si="9" ref="H8:H30">(P8+Q8)/(P8-Q8)</f>
        <v>10.983351422066937</v>
      </c>
      <c r="I8" s="155"/>
      <c r="J8" s="132">
        <f t="shared" si="1"/>
        <v>4.800987765181257</v>
      </c>
      <c r="K8" s="130">
        <f aca="true" t="shared" si="10" ref="K8:K30">1000000/2/PI()/180*C8/A8/(C8+180)</f>
        <v>11.634133266951412</v>
      </c>
      <c r="L8" s="130">
        <f aca="true" t="shared" si="11" ref="L8:L30">SQRT(J8^2+K8^2)</f>
        <v>12.58580710143794</v>
      </c>
      <c r="M8" s="130">
        <f t="shared" si="2"/>
        <v>4.193707080677857</v>
      </c>
      <c r="N8" s="130">
        <f t="shared" si="3"/>
        <v>12.170229619766971</v>
      </c>
      <c r="O8" s="130">
        <f aca="true" t="shared" si="12" ref="O8:O30">SQRT(M8^2+N8^2)</f>
        <v>12.87251599635366</v>
      </c>
      <c r="P8" s="130">
        <f t="shared" si="4"/>
        <v>56.0223287351814</v>
      </c>
      <c r="Q8" s="133">
        <f t="shared" si="5"/>
        <v>46.6723018917696</v>
      </c>
      <c r="S8" s="241" t="s">
        <v>43</v>
      </c>
      <c r="T8" s="241"/>
      <c r="U8" s="241"/>
    </row>
    <row r="9" spans="1:21" ht="12.75">
      <c r="A9" s="24">
        <v>5</v>
      </c>
      <c r="B9" s="135">
        <v>0.5</v>
      </c>
      <c r="C9" s="135">
        <v>40</v>
      </c>
      <c r="D9" s="153">
        <v>0</v>
      </c>
      <c r="E9" s="73">
        <f t="shared" si="6"/>
        <v>12.259737344258596</v>
      </c>
      <c r="F9" s="73">
        <f t="shared" si="7"/>
        <v>32.15251375593845</v>
      </c>
      <c r="G9" s="73">
        <f t="shared" si="8"/>
        <v>34.410540544664805</v>
      </c>
      <c r="H9" s="74">
        <f t="shared" si="9"/>
        <v>5.838787400732637</v>
      </c>
      <c r="I9" s="155"/>
      <c r="J9" s="132">
        <f t="shared" si="1"/>
        <v>12.259737344258596</v>
      </c>
      <c r="K9" s="130">
        <f t="shared" si="10"/>
        <v>32.15251375593845</v>
      </c>
      <c r="L9" s="130">
        <f t="shared" si="11"/>
        <v>34.410540544664805</v>
      </c>
      <c r="M9" s="130">
        <f t="shared" si="2"/>
        <v>6.989280682348179</v>
      </c>
      <c r="N9" s="130">
        <f t="shared" si="3"/>
        <v>35.44911251495726</v>
      </c>
      <c r="O9" s="130">
        <f t="shared" si="12"/>
        <v>36.131559924181865</v>
      </c>
      <c r="P9" s="130">
        <f t="shared" si="4"/>
        <v>70.07181341311126</v>
      </c>
      <c r="Q9" s="133">
        <f t="shared" si="5"/>
        <v>49.579346165012716</v>
      </c>
      <c r="S9" s="239" t="s">
        <v>44</v>
      </c>
      <c r="T9" s="239"/>
      <c r="U9" s="239"/>
    </row>
    <row r="10" spans="1:17" ht="12.75">
      <c r="A10" s="24">
        <v>6.7</v>
      </c>
      <c r="B10" s="135">
        <v>1.25</v>
      </c>
      <c r="C10" s="135">
        <v>0</v>
      </c>
      <c r="D10" s="153">
        <v>0</v>
      </c>
      <c r="E10" s="73">
        <f t="shared" si="6"/>
        <v>40.23004826579862</v>
      </c>
      <c r="F10" s="73">
        <f t="shared" si="7"/>
        <v>0</v>
      </c>
      <c r="G10" s="73">
        <f t="shared" si="8"/>
        <v>40.23004826579862</v>
      </c>
      <c r="H10" s="74">
        <f t="shared" si="9"/>
        <v>1.2428521007395177</v>
      </c>
      <c r="I10" s="155"/>
      <c r="J10" s="132">
        <f t="shared" si="1"/>
        <v>40.23004826579862</v>
      </c>
      <c r="K10" s="130">
        <f t="shared" si="10"/>
        <v>0</v>
      </c>
      <c r="L10" s="130">
        <f t="shared" si="11"/>
        <v>40.23004826579862</v>
      </c>
      <c r="M10" s="130">
        <f t="shared" si="2"/>
        <v>50.359967977866916</v>
      </c>
      <c r="N10" s="130">
        <f t="shared" si="3"/>
        <v>0</v>
      </c>
      <c r="O10" s="130">
        <f t="shared" si="12"/>
        <v>50.359967977866916</v>
      </c>
      <c r="P10" s="130">
        <f t="shared" si="4"/>
        <v>90.23004826579862</v>
      </c>
      <c r="Q10" s="133">
        <f t="shared" si="5"/>
        <v>9.769951734201378</v>
      </c>
    </row>
    <row r="11" spans="1:17" ht="12.75">
      <c r="A11" s="24">
        <v>7</v>
      </c>
      <c r="B11" s="135">
        <v>1.8</v>
      </c>
      <c r="C11" s="135">
        <v>70</v>
      </c>
      <c r="D11" s="153">
        <v>0</v>
      </c>
      <c r="E11" s="73">
        <f t="shared" si="6"/>
        <v>60.74160960826131</v>
      </c>
      <c r="F11" s="73">
        <f t="shared" si="7"/>
        <v>35.367765131532295</v>
      </c>
      <c r="G11" s="73">
        <f t="shared" si="8"/>
        <v>70.28813518796508</v>
      </c>
      <c r="H11" s="74">
        <f t="shared" si="9"/>
        <v>1.9323573680124477</v>
      </c>
      <c r="I11" s="155"/>
      <c r="J11" s="132">
        <f t="shared" si="1"/>
        <v>60.74160960826131</v>
      </c>
      <c r="K11" s="130">
        <f t="shared" si="10"/>
        <v>35.367765131532295</v>
      </c>
      <c r="L11" s="130">
        <f t="shared" si="11"/>
        <v>70.28813518796508</v>
      </c>
      <c r="M11" s="130">
        <f t="shared" si="2"/>
        <v>69.83120954725575</v>
      </c>
      <c r="N11" s="130">
        <f t="shared" si="3"/>
        <v>68.52963629393466</v>
      </c>
      <c r="O11" s="130">
        <f t="shared" si="12"/>
        <v>97.84022116395542</v>
      </c>
      <c r="P11" s="130">
        <f t="shared" si="4"/>
        <v>116.2522382968508</v>
      </c>
      <c r="Q11" s="133">
        <f t="shared" si="5"/>
        <v>36.96296778365508</v>
      </c>
    </row>
    <row r="12" spans="1:17" ht="12.75">
      <c r="A12" s="24">
        <v>7.1</v>
      </c>
      <c r="B12" s="135">
        <v>1.8</v>
      </c>
      <c r="C12" s="135">
        <v>95</v>
      </c>
      <c r="D12" s="153">
        <v>0</v>
      </c>
      <c r="E12" s="73">
        <f t="shared" si="6"/>
        <v>60.74160960826131</v>
      </c>
      <c r="F12" s="73">
        <f t="shared" si="7"/>
        <v>43.02096911005849</v>
      </c>
      <c r="G12" s="73">
        <f t="shared" si="8"/>
        <v>74.43350670881381</v>
      </c>
      <c r="H12" s="74">
        <f t="shared" si="9"/>
        <v>2.1909757941047454</v>
      </c>
      <c r="I12" s="155"/>
      <c r="J12" s="132">
        <f t="shared" si="1"/>
        <v>60.74160960826131</v>
      </c>
      <c r="K12" s="130">
        <f t="shared" si="10"/>
        <v>43.02096911005849</v>
      </c>
      <c r="L12" s="130">
        <f t="shared" si="11"/>
        <v>74.43350670881381</v>
      </c>
      <c r="M12" s="130">
        <f t="shared" si="2"/>
        <v>62.21114065210405</v>
      </c>
      <c r="N12" s="130">
        <f t="shared" si="3"/>
        <v>81.00465150124683</v>
      </c>
      <c r="O12" s="130">
        <f t="shared" si="12"/>
        <v>102.13706274450193</v>
      </c>
      <c r="P12" s="130">
        <f t="shared" si="4"/>
        <v>118.80449436699422</v>
      </c>
      <c r="Q12" s="133">
        <f t="shared" si="5"/>
        <v>44.34169550372311</v>
      </c>
    </row>
    <row r="13" spans="1:17" ht="12.75">
      <c r="A13" s="24">
        <v>7.2</v>
      </c>
      <c r="B13" s="135">
        <v>1.8</v>
      </c>
      <c r="C13" s="135">
        <v>130</v>
      </c>
      <c r="D13" s="153">
        <v>0</v>
      </c>
      <c r="E13" s="73">
        <f t="shared" si="6"/>
        <v>60.74160960826131</v>
      </c>
      <c r="F13" s="73">
        <f t="shared" si="7"/>
        <v>51.49876195227597</v>
      </c>
      <c r="G13" s="73">
        <f t="shared" si="8"/>
        <v>79.63457553361862</v>
      </c>
      <c r="H13" s="74">
        <f t="shared" si="9"/>
        <v>2.5133656276899483</v>
      </c>
      <c r="I13" s="155"/>
      <c r="J13" s="132">
        <f t="shared" si="1"/>
        <v>60.74160960826131</v>
      </c>
      <c r="K13" s="130">
        <f t="shared" si="10"/>
        <v>51.49876195227597</v>
      </c>
      <c r="L13" s="130">
        <f t="shared" si="11"/>
        <v>79.63457553361862</v>
      </c>
      <c r="M13" s="130">
        <f t="shared" si="2"/>
        <v>52.679977910119696</v>
      </c>
      <c r="N13" s="130">
        <f t="shared" si="3"/>
        <v>93.44288696641124</v>
      </c>
      <c r="O13" s="130">
        <f t="shared" si="12"/>
        <v>107.26953527086899</v>
      </c>
      <c r="P13" s="130">
        <f t="shared" si="4"/>
        <v>122.13036715430664</v>
      </c>
      <c r="Q13" s="133">
        <f t="shared" si="5"/>
        <v>52.607078037023484</v>
      </c>
    </row>
    <row r="14" spans="1:17" ht="12.75">
      <c r="A14" s="24">
        <v>7.3</v>
      </c>
      <c r="B14" s="135">
        <v>1.2</v>
      </c>
      <c r="C14" s="135">
        <v>100</v>
      </c>
      <c r="D14" s="153">
        <v>1</v>
      </c>
      <c r="E14" s="73">
        <f t="shared" si="6"/>
        <v>30.931256928807592</v>
      </c>
      <c r="F14" s="73">
        <f t="shared" si="7"/>
        <v>61.80377695340943</v>
      </c>
      <c r="G14" s="73">
        <f t="shared" si="8"/>
        <v>69.11186223003031</v>
      </c>
      <c r="H14" s="74">
        <f t="shared" si="9"/>
        <v>4.481791739994705</v>
      </c>
      <c r="I14" s="155"/>
      <c r="J14" s="132">
        <f t="shared" si="1"/>
        <v>38.36536087102928</v>
      </c>
      <c r="K14" s="130">
        <f t="shared" si="10"/>
        <v>43.25802975970193</v>
      </c>
      <c r="L14" s="130">
        <f t="shared" si="11"/>
        <v>57.82004888838786</v>
      </c>
      <c r="M14" s="130">
        <f t="shared" si="2"/>
        <v>30.931256928807592</v>
      </c>
      <c r="N14" s="130">
        <f t="shared" si="3"/>
        <v>61.80377695340943</v>
      </c>
      <c r="O14" s="130">
        <f t="shared" si="12"/>
        <v>69.11186223003031</v>
      </c>
      <c r="P14" s="130">
        <f t="shared" si="4"/>
        <v>101.831111129082</v>
      </c>
      <c r="Q14" s="133">
        <f t="shared" si="5"/>
        <v>64.67861940411167</v>
      </c>
    </row>
    <row r="15" spans="1:17" ht="12.75">
      <c r="A15" s="24">
        <v>10</v>
      </c>
      <c r="B15" s="135">
        <v>0.9</v>
      </c>
      <c r="C15" s="135">
        <v>-50</v>
      </c>
      <c r="D15" s="153">
        <v>0</v>
      </c>
      <c r="E15" s="73">
        <f t="shared" si="6"/>
        <v>27.177236502413276</v>
      </c>
      <c r="F15" s="73">
        <f t="shared" si="7"/>
        <v>-34.00746647262721</v>
      </c>
      <c r="G15" s="73">
        <f t="shared" si="8"/>
        <v>43.53286068931111</v>
      </c>
      <c r="H15" s="74">
        <f t="shared" si="9"/>
        <v>2.888164711331305</v>
      </c>
      <c r="I15" s="155"/>
      <c r="J15" s="132">
        <f t="shared" si="1"/>
        <v>27.177236502413276</v>
      </c>
      <c r="K15" s="130">
        <f t="shared" si="10"/>
        <v>-34.00746647262721</v>
      </c>
      <c r="L15" s="130">
        <f t="shared" si="11"/>
        <v>43.53286068931111</v>
      </c>
      <c r="M15" s="130">
        <f t="shared" si="2"/>
        <v>22.82305805152353</v>
      </c>
      <c r="N15" s="130">
        <f t="shared" si="3"/>
        <v>-43.84635173433774</v>
      </c>
      <c r="O15" s="130">
        <f t="shared" si="12"/>
        <v>49.430704417745</v>
      </c>
      <c r="P15" s="130">
        <f t="shared" si="4"/>
        <v>84.33761681501498</v>
      </c>
      <c r="Q15" s="133">
        <f t="shared" si="5"/>
        <v>40.955906894532816</v>
      </c>
    </row>
    <row r="16" spans="1:17" ht="12.75">
      <c r="A16" s="24">
        <v>13.7</v>
      </c>
      <c r="B16" s="135">
        <v>2.6</v>
      </c>
      <c r="C16" s="135">
        <v>40</v>
      </c>
      <c r="D16" s="153">
        <v>0</v>
      </c>
      <c r="E16" s="73">
        <f t="shared" si="6"/>
        <v>90.57660792457065</v>
      </c>
      <c r="F16" s="73">
        <f t="shared" si="7"/>
        <v>11.734494071510385</v>
      </c>
      <c r="G16" s="73">
        <f t="shared" si="8"/>
        <v>91.33356586839093</v>
      </c>
      <c r="H16" s="74">
        <f t="shared" si="9"/>
        <v>1.8548200402374317</v>
      </c>
      <c r="I16" s="155"/>
      <c r="J16" s="132">
        <f t="shared" si="1"/>
        <v>90.57660792457065</v>
      </c>
      <c r="K16" s="130">
        <f t="shared" si="10"/>
        <v>11.734494071510385</v>
      </c>
      <c r="L16" s="130">
        <f t="shared" si="11"/>
        <v>91.33356586839093</v>
      </c>
      <c r="M16" s="130">
        <f t="shared" si="2"/>
        <v>161.39639050049615</v>
      </c>
      <c r="N16" s="130">
        <f t="shared" si="3"/>
        <v>38.75591609214592</v>
      </c>
      <c r="O16" s="130">
        <f t="shared" si="12"/>
        <v>165.9843845026697</v>
      </c>
      <c r="P16" s="130">
        <f t="shared" si="4"/>
        <v>141.06552040343794</v>
      </c>
      <c r="Q16" s="133">
        <f t="shared" si="5"/>
        <v>42.23931180522053</v>
      </c>
    </row>
    <row r="17" spans="1:17" ht="12.75">
      <c r="A17" s="24">
        <v>14</v>
      </c>
      <c r="B17" s="135">
        <v>2.55</v>
      </c>
      <c r="C17" s="135">
        <v>75</v>
      </c>
      <c r="D17" s="153">
        <v>1</v>
      </c>
      <c r="E17" s="73">
        <f t="shared" si="6"/>
        <v>149.68523761836823</v>
      </c>
      <c r="F17" s="73">
        <f t="shared" si="7"/>
        <v>58.367262459886156</v>
      </c>
      <c r="G17" s="73">
        <f t="shared" si="8"/>
        <v>160.66240284499855</v>
      </c>
      <c r="H17" s="74">
        <f t="shared" si="9"/>
        <v>3.4969634617453558</v>
      </c>
      <c r="I17" s="155"/>
      <c r="J17" s="132">
        <f t="shared" si="1"/>
        <v>88.7119205298013</v>
      </c>
      <c r="K17" s="130">
        <f t="shared" si="10"/>
        <v>18.57550689681318</v>
      </c>
      <c r="L17" s="130">
        <f t="shared" si="11"/>
        <v>90.63583342453103</v>
      </c>
      <c r="M17" s="130">
        <f t="shared" si="2"/>
        <v>149.68523761836823</v>
      </c>
      <c r="N17" s="130">
        <f t="shared" si="3"/>
        <v>58.367262459886156</v>
      </c>
      <c r="O17" s="130">
        <f t="shared" si="12"/>
        <v>160.66240284499855</v>
      </c>
      <c r="P17" s="130">
        <f t="shared" si="4"/>
        <v>208.04069661911205</v>
      </c>
      <c r="Q17" s="133">
        <f t="shared" si="5"/>
        <v>115.51573021061579</v>
      </c>
    </row>
    <row r="18" spans="1:17" ht="12.75">
      <c r="A18" s="24">
        <v>14.4</v>
      </c>
      <c r="B18" s="135">
        <v>1.3</v>
      </c>
      <c r="C18" s="135">
        <v>0</v>
      </c>
      <c r="D18" s="153">
        <v>0</v>
      </c>
      <c r="E18" s="73">
        <f t="shared" si="6"/>
        <v>42.094735660567956</v>
      </c>
      <c r="F18" s="73">
        <f t="shared" si="7"/>
        <v>0</v>
      </c>
      <c r="G18" s="73">
        <f t="shared" si="8"/>
        <v>42.094735660567956</v>
      </c>
      <c r="H18" s="74">
        <f t="shared" si="9"/>
        <v>1.1877969825770227</v>
      </c>
      <c r="I18" s="155"/>
      <c r="J18" s="132">
        <f t="shared" si="1"/>
        <v>42.094735660567956</v>
      </c>
      <c r="K18" s="130">
        <f t="shared" si="10"/>
        <v>0</v>
      </c>
      <c r="L18" s="130">
        <f t="shared" si="11"/>
        <v>42.094735660567956</v>
      </c>
      <c r="M18" s="130">
        <f t="shared" si="2"/>
        <v>53.31644367483709</v>
      </c>
      <c r="N18" s="130">
        <f t="shared" si="3"/>
        <v>0</v>
      </c>
      <c r="O18" s="130">
        <f t="shared" si="12"/>
        <v>53.31644367483709</v>
      </c>
      <c r="P18" s="130">
        <f t="shared" si="4"/>
        <v>92.09473566056795</v>
      </c>
      <c r="Q18" s="133">
        <f t="shared" si="5"/>
        <v>7.905264339432044</v>
      </c>
    </row>
    <row r="19" spans="1:17" ht="12.75">
      <c r="A19" s="24">
        <v>18.1</v>
      </c>
      <c r="B19" s="135">
        <v>1</v>
      </c>
      <c r="C19" s="135">
        <v>-80</v>
      </c>
      <c r="D19" s="153">
        <v>0</v>
      </c>
      <c r="E19" s="73">
        <f t="shared" si="6"/>
        <v>30.906611291951943</v>
      </c>
      <c r="F19" s="73">
        <f t="shared" si="7"/>
        <v>-39.080403460256676</v>
      </c>
      <c r="G19" s="73">
        <f t="shared" si="8"/>
        <v>49.82465811391236</v>
      </c>
      <c r="H19" s="74">
        <f t="shared" si="9"/>
        <v>2.8765936244123314</v>
      </c>
      <c r="I19" s="155"/>
      <c r="J19" s="132">
        <f t="shared" si="1"/>
        <v>30.906611291951943</v>
      </c>
      <c r="K19" s="130">
        <f t="shared" si="10"/>
        <v>-39.080403460256676</v>
      </c>
      <c r="L19" s="130">
        <f t="shared" si="11"/>
        <v>49.82465811391236</v>
      </c>
      <c r="M19" s="130">
        <f t="shared" si="2"/>
        <v>24.56071628363388</v>
      </c>
      <c r="N19" s="130">
        <f t="shared" si="3"/>
        <v>-51.89986114028922</v>
      </c>
      <c r="O19" s="130">
        <f t="shared" si="12"/>
        <v>57.41797950769829</v>
      </c>
      <c r="P19" s="130">
        <f t="shared" si="4"/>
        <v>89.85075228045366</v>
      </c>
      <c r="Q19" s="133">
        <f t="shared" si="5"/>
        <v>43.49523453176289</v>
      </c>
    </row>
    <row r="20" spans="1:17" ht="12.75">
      <c r="A20" s="24">
        <v>21</v>
      </c>
      <c r="B20" s="135">
        <v>1.2</v>
      </c>
      <c r="C20" s="135">
        <v>-25</v>
      </c>
      <c r="D20" s="153">
        <v>0</v>
      </c>
      <c r="E20" s="73">
        <f t="shared" si="6"/>
        <v>38.36536087102928</v>
      </c>
      <c r="F20" s="73">
        <f t="shared" si="7"/>
        <v>-6.791045532168259</v>
      </c>
      <c r="G20" s="73">
        <f t="shared" si="8"/>
        <v>38.96176605576661</v>
      </c>
      <c r="H20" s="74">
        <f t="shared" si="9"/>
        <v>1.3585039391830165</v>
      </c>
      <c r="I20" s="155"/>
      <c r="J20" s="132">
        <f t="shared" si="1"/>
        <v>38.36536087102928</v>
      </c>
      <c r="K20" s="130">
        <f t="shared" si="10"/>
        <v>-6.791045532168259</v>
      </c>
      <c r="L20" s="130">
        <f t="shared" si="11"/>
        <v>38.96176605576661</v>
      </c>
      <c r="M20" s="130">
        <f t="shared" si="2"/>
        <v>47.03562883124672</v>
      </c>
      <c r="N20" s="130">
        <f t="shared" si="3"/>
        <v>-10.379150239709496</v>
      </c>
      <c r="O20" s="130">
        <f t="shared" si="12"/>
        <v>48.167179066759445</v>
      </c>
      <c r="P20" s="130">
        <f t="shared" si="4"/>
        <v>88.62592905739953</v>
      </c>
      <c r="Q20" s="133">
        <f t="shared" si="5"/>
        <v>13.471567358008459</v>
      </c>
    </row>
    <row r="21" spans="1:17" ht="12.75">
      <c r="A21" s="24">
        <v>21.12</v>
      </c>
      <c r="B21" s="135">
        <v>1.2</v>
      </c>
      <c r="C21" s="135">
        <v>0</v>
      </c>
      <c r="D21" s="153">
        <v>0</v>
      </c>
      <c r="E21" s="73">
        <f t="shared" si="6"/>
        <v>38.36536087102928</v>
      </c>
      <c r="F21" s="73">
        <f t="shared" si="7"/>
        <v>0</v>
      </c>
      <c r="G21" s="73">
        <f t="shared" si="8"/>
        <v>38.36536087102928</v>
      </c>
      <c r="H21" s="74">
        <f t="shared" si="9"/>
        <v>1.3032589519510123</v>
      </c>
      <c r="I21" s="155"/>
      <c r="J21" s="132">
        <f t="shared" si="1"/>
        <v>38.36536087102928</v>
      </c>
      <c r="K21" s="130">
        <f t="shared" si="10"/>
        <v>0</v>
      </c>
      <c r="L21" s="130">
        <f t="shared" si="11"/>
        <v>38.36536087102928</v>
      </c>
      <c r="M21" s="130">
        <f t="shared" si="2"/>
        <v>47.47170665616667</v>
      </c>
      <c r="N21" s="130">
        <f t="shared" si="3"/>
        <v>0</v>
      </c>
      <c r="O21" s="130">
        <f t="shared" si="12"/>
        <v>47.47170665616667</v>
      </c>
      <c r="P21" s="130">
        <f t="shared" si="4"/>
        <v>88.36536087102928</v>
      </c>
      <c r="Q21" s="133">
        <f t="shared" si="5"/>
        <v>11.634639128970719</v>
      </c>
    </row>
    <row r="22" spans="1:17" ht="12.75">
      <c r="A22" s="24">
        <v>21.45</v>
      </c>
      <c r="B22" s="135">
        <v>1.4</v>
      </c>
      <c r="C22" s="135">
        <v>140</v>
      </c>
      <c r="D22" s="153">
        <v>0</v>
      </c>
      <c r="E22" s="73">
        <f t="shared" si="6"/>
        <v>45.82411045010662</v>
      </c>
      <c r="F22" s="73">
        <f t="shared" si="7"/>
        <v>18.034262523362916</v>
      </c>
      <c r="G22" s="73">
        <f t="shared" si="8"/>
        <v>49.245139083011466</v>
      </c>
      <c r="H22" s="74">
        <f t="shared" si="9"/>
        <v>1.4686734320388577</v>
      </c>
      <c r="I22" s="155"/>
      <c r="J22" s="132">
        <f t="shared" si="1"/>
        <v>45.82411045010662</v>
      </c>
      <c r="K22" s="130">
        <f t="shared" si="10"/>
        <v>18.034262523362916</v>
      </c>
      <c r="L22" s="130">
        <f t="shared" si="11"/>
        <v>49.245139083011466</v>
      </c>
      <c r="M22" s="130">
        <f t="shared" si="2"/>
        <v>55.94202466915139</v>
      </c>
      <c r="N22" s="130">
        <f t="shared" si="3"/>
        <v>29.938051125372578</v>
      </c>
      <c r="O22" s="130">
        <f t="shared" si="12"/>
        <v>63.4491688619273</v>
      </c>
      <c r="P22" s="130">
        <f t="shared" si="4"/>
        <v>97.50638321830938</v>
      </c>
      <c r="Q22" s="133">
        <f t="shared" si="5"/>
        <v>18.511420212789748</v>
      </c>
    </row>
    <row r="23" spans="1:17" ht="12.75">
      <c r="A23" s="24">
        <v>24.9</v>
      </c>
      <c r="B23" s="135">
        <v>0.8</v>
      </c>
      <c r="C23" s="135">
        <v>-100</v>
      </c>
      <c r="D23" s="153">
        <v>0</v>
      </c>
      <c r="E23" s="73">
        <f t="shared" si="6"/>
        <v>23.447861712874605</v>
      </c>
      <c r="F23" s="73">
        <f t="shared" si="7"/>
        <v>-44.38725543616001</v>
      </c>
      <c r="G23" s="73">
        <f t="shared" si="8"/>
        <v>50.199907012473716</v>
      </c>
      <c r="H23" s="74">
        <f t="shared" si="9"/>
        <v>4.0339718476349535</v>
      </c>
      <c r="I23" s="155"/>
      <c r="J23" s="132">
        <f t="shared" si="1"/>
        <v>23.447861712874605</v>
      </c>
      <c r="K23" s="130">
        <f t="shared" si="10"/>
        <v>-44.38725543616001</v>
      </c>
      <c r="L23" s="130">
        <f t="shared" si="11"/>
        <v>50.199907012473716</v>
      </c>
      <c r="M23" s="130">
        <f t="shared" si="2"/>
        <v>13.092840546836781</v>
      </c>
      <c r="N23" s="130">
        <f t="shared" si="3"/>
        <v>-53.57401182865824</v>
      </c>
      <c r="O23" s="130">
        <f t="shared" si="12"/>
        <v>55.15067739386441</v>
      </c>
      <c r="P23" s="130">
        <f t="shared" si="4"/>
        <v>85.81851102966345</v>
      </c>
      <c r="Q23" s="133">
        <f t="shared" si="5"/>
        <v>51.72276571079264</v>
      </c>
    </row>
    <row r="24" spans="1:17" ht="12.75">
      <c r="A24" s="24">
        <v>26</v>
      </c>
      <c r="B24" s="135">
        <v>0.7</v>
      </c>
      <c r="C24" s="135">
        <v>-80</v>
      </c>
      <c r="D24" s="153">
        <v>0</v>
      </c>
      <c r="E24" s="73">
        <f t="shared" si="6"/>
        <v>19.718486923335934</v>
      </c>
      <c r="F24" s="73">
        <f t="shared" si="7"/>
        <v>-27.205973178101768</v>
      </c>
      <c r="G24" s="73">
        <f t="shared" si="8"/>
        <v>33.600352723049845</v>
      </c>
      <c r="H24" s="74">
        <f t="shared" si="9"/>
        <v>3.3854078942904513</v>
      </c>
      <c r="I24" s="155"/>
      <c r="J24" s="132">
        <f t="shared" si="1"/>
        <v>19.718486923335934</v>
      </c>
      <c r="K24" s="130">
        <f t="shared" si="10"/>
        <v>-27.205973178101768</v>
      </c>
      <c r="L24" s="130">
        <f t="shared" si="11"/>
        <v>33.600352723049845</v>
      </c>
      <c r="M24" s="130">
        <f t="shared" si="2"/>
        <v>16.934892535739205</v>
      </c>
      <c r="N24" s="130">
        <f t="shared" si="3"/>
        <v>-32.73727165364947</v>
      </c>
      <c r="O24" s="130">
        <f t="shared" si="12"/>
        <v>36.858100066632254</v>
      </c>
      <c r="P24" s="130">
        <f t="shared" si="4"/>
        <v>74.83870920484236</v>
      </c>
      <c r="Q24" s="133">
        <f t="shared" si="5"/>
        <v>40.70792319413715</v>
      </c>
    </row>
    <row r="25" spans="1:17" ht="12.75">
      <c r="A25" s="24">
        <v>27</v>
      </c>
      <c r="B25" s="135">
        <v>1</v>
      </c>
      <c r="C25" s="135">
        <v>-70</v>
      </c>
      <c r="D25" s="153">
        <v>0</v>
      </c>
      <c r="E25" s="73">
        <f t="shared" si="6"/>
        <v>30.906611291951943</v>
      </c>
      <c r="F25" s="73">
        <f t="shared" si="7"/>
        <v>-20.83959224921937</v>
      </c>
      <c r="G25" s="73">
        <f t="shared" si="8"/>
        <v>37.27609457367463</v>
      </c>
      <c r="H25" s="74">
        <f t="shared" si="9"/>
        <v>2.022505703708762</v>
      </c>
      <c r="I25" s="155"/>
      <c r="J25" s="132">
        <f t="shared" si="1"/>
        <v>30.906611291951943</v>
      </c>
      <c r="K25" s="130">
        <f t="shared" si="10"/>
        <v>-20.83959224921937</v>
      </c>
      <c r="L25" s="130">
        <f t="shared" si="11"/>
        <v>37.27609457367463</v>
      </c>
      <c r="M25" s="130">
        <f t="shared" si="2"/>
        <v>33.01641710037825</v>
      </c>
      <c r="N25" s="130">
        <f t="shared" si="3"/>
        <v>-28.71766398939516</v>
      </c>
      <c r="O25" s="130">
        <f t="shared" si="12"/>
        <v>43.75829090759776</v>
      </c>
      <c r="P25" s="130">
        <f t="shared" si="4"/>
        <v>83.54740184985246</v>
      </c>
      <c r="Q25" s="133">
        <f t="shared" si="5"/>
        <v>28.263865579045287</v>
      </c>
    </row>
    <row r="26" spans="1:17" ht="12.75">
      <c r="A26" s="24">
        <v>28</v>
      </c>
      <c r="B26" s="135">
        <v>0.8</v>
      </c>
      <c r="C26" s="135">
        <v>-60</v>
      </c>
      <c r="D26" s="153">
        <v>0</v>
      </c>
      <c r="E26" s="73">
        <f t="shared" si="6"/>
        <v>23.447861712874605</v>
      </c>
      <c r="F26" s="73">
        <f t="shared" si="7"/>
        <v>-15.789180862291204</v>
      </c>
      <c r="G26" s="73">
        <f t="shared" si="8"/>
        <v>28.268364848505716</v>
      </c>
      <c r="H26" s="74">
        <f t="shared" si="9"/>
        <v>2.3967580560217083</v>
      </c>
      <c r="I26" s="155"/>
      <c r="J26" s="132">
        <f t="shared" si="1"/>
        <v>23.447861712874605</v>
      </c>
      <c r="K26" s="130">
        <f t="shared" si="10"/>
        <v>-15.789180862291204</v>
      </c>
      <c r="L26" s="130">
        <f t="shared" si="11"/>
        <v>28.268364848505716</v>
      </c>
      <c r="M26" s="130">
        <f t="shared" si="2"/>
        <v>24.764337164149634</v>
      </c>
      <c r="N26" s="130">
        <f t="shared" si="3"/>
        <v>-20.100831433184343</v>
      </c>
      <c r="O26" s="130">
        <f t="shared" si="12"/>
        <v>31.895388686845852</v>
      </c>
      <c r="P26" s="130">
        <f t="shared" si="4"/>
        <v>75.12580530347542</v>
      </c>
      <c r="Q26" s="133">
        <f t="shared" si="5"/>
        <v>30.891977598088037</v>
      </c>
    </row>
    <row r="27" spans="1:17" ht="12.75">
      <c r="A27" s="24">
        <v>29</v>
      </c>
      <c r="B27" s="135">
        <v>0.9</v>
      </c>
      <c r="C27" s="135">
        <v>-20</v>
      </c>
      <c r="D27" s="153">
        <v>0</v>
      </c>
      <c r="E27" s="73">
        <f t="shared" si="6"/>
        <v>27.177236502413276</v>
      </c>
      <c r="F27" s="73">
        <f t="shared" si="7"/>
        <v>-3.811181587449601</v>
      </c>
      <c r="G27" s="73">
        <f t="shared" si="8"/>
        <v>27.443164704541996</v>
      </c>
      <c r="H27" s="74">
        <f t="shared" si="9"/>
        <v>1.8548947401887999</v>
      </c>
      <c r="I27" s="155"/>
      <c r="J27" s="132">
        <f t="shared" si="1"/>
        <v>27.177236502413276</v>
      </c>
      <c r="K27" s="130">
        <f t="shared" si="10"/>
        <v>-3.811181587449601</v>
      </c>
      <c r="L27" s="130">
        <f t="shared" si="11"/>
        <v>27.443164704541996</v>
      </c>
      <c r="M27" s="130">
        <f t="shared" si="2"/>
        <v>31.338488394522226</v>
      </c>
      <c r="N27" s="130">
        <f t="shared" si="3"/>
        <v>-5.101602182457509</v>
      </c>
      <c r="O27" s="130">
        <f t="shared" si="12"/>
        <v>31.751018876276387</v>
      </c>
      <c r="P27" s="130">
        <f t="shared" si="4"/>
        <v>77.27128146499156</v>
      </c>
      <c r="Q27" s="133">
        <f t="shared" si="5"/>
        <v>23.13879077997145</v>
      </c>
    </row>
    <row r="28" spans="1:17" ht="12.75">
      <c r="A28" s="24">
        <v>29.2</v>
      </c>
      <c r="B28" s="135">
        <v>1</v>
      </c>
      <c r="C28" s="135">
        <v>0</v>
      </c>
      <c r="D28" s="153">
        <v>0</v>
      </c>
      <c r="E28" s="73">
        <f t="shared" si="6"/>
        <v>30.906611291951943</v>
      </c>
      <c r="F28" s="73">
        <f t="shared" si="7"/>
        <v>0</v>
      </c>
      <c r="G28" s="73">
        <f t="shared" si="8"/>
        <v>30.906611291951943</v>
      </c>
      <c r="H28" s="74">
        <f t="shared" si="9"/>
        <v>1.6177768415853457</v>
      </c>
      <c r="I28" s="155"/>
      <c r="J28" s="132">
        <f t="shared" si="1"/>
        <v>30.906611291951943</v>
      </c>
      <c r="K28" s="130">
        <f t="shared" si="10"/>
        <v>0</v>
      </c>
      <c r="L28" s="130">
        <f t="shared" si="11"/>
        <v>30.906611291951943</v>
      </c>
      <c r="M28" s="130">
        <f t="shared" si="2"/>
        <v>36.55567083739086</v>
      </c>
      <c r="N28" s="130">
        <f t="shared" si="3"/>
        <v>0</v>
      </c>
      <c r="O28" s="130">
        <f t="shared" si="12"/>
        <v>36.55567083739086</v>
      </c>
      <c r="P28" s="130">
        <f t="shared" si="4"/>
        <v>80.90661129195195</v>
      </c>
      <c r="Q28" s="133">
        <f t="shared" si="5"/>
        <v>19.093388708048057</v>
      </c>
    </row>
    <row r="29" spans="1:17" ht="12.75">
      <c r="A29" s="24">
        <v>29.5</v>
      </c>
      <c r="B29" s="135">
        <v>1.1</v>
      </c>
      <c r="C29" s="135">
        <v>40</v>
      </c>
      <c r="D29" s="153">
        <v>0</v>
      </c>
      <c r="E29" s="73">
        <f t="shared" si="6"/>
        <v>34.63598608149062</v>
      </c>
      <c r="F29" s="73">
        <f t="shared" si="7"/>
        <v>5.449578602701433</v>
      </c>
      <c r="G29" s="73">
        <f t="shared" si="8"/>
        <v>35.062079784066334</v>
      </c>
      <c r="H29" s="74">
        <f t="shared" si="9"/>
        <v>1.4759016937844092</v>
      </c>
      <c r="I29" s="155"/>
      <c r="J29" s="132">
        <f t="shared" si="1"/>
        <v>34.63598608149062</v>
      </c>
      <c r="K29" s="130">
        <f t="shared" si="10"/>
        <v>5.449578602701433</v>
      </c>
      <c r="L29" s="130">
        <f t="shared" si="11"/>
        <v>35.062079784066334</v>
      </c>
      <c r="M29" s="130">
        <f t="shared" si="2"/>
        <v>41.62818003701498</v>
      </c>
      <c r="N29" s="130">
        <f t="shared" si="3"/>
        <v>7.962867667135277</v>
      </c>
      <c r="O29" s="130">
        <f t="shared" si="12"/>
        <v>42.382928576001454</v>
      </c>
      <c r="P29" s="130">
        <f t="shared" si="4"/>
        <v>84.81124953055046</v>
      </c>
      <c r="Q29" s="133">
        <f t="shared" si="5"/>
        <v>16.301865863611173</v>
      </c>
    </row>
    <row r="30" spans="1:17" ht="13.5" thickBot="1">
      <c r="A30" s="26">
        <v>30</v>
      </c>
      <c r="B30" s="142">
        <v>1.4</v>
      </c>
      <c r="C30" s="142">
        <v>25</v>
      </c>
      <c r="D30" s="154">
        <v>1</v>
      </c>
      <c r="E30" s="75">
        <f t="shared" si="6"/>
        <v>59.3030096844219</v>
      </c>
      <c r="F30" s="75">
        <f t="shared" si="7"/>
        <v>6.045101735179228</v>
      </c>
      <c r="G30" s="75">
        <f t="shared" si="8"/>
        <v>59.61031968224382</v>
      </c>
      <c r="H30" s="145">
        <f t="shared" si="9"/>
        <v>1.2255553587504298</v>
      </c>
      <c r="I30" s="155"/>
      <c r="J30" s="149">
        <f t="shared" si="1"/>
        <v>45.82411045010662</v>
      </c>
      <c r="K30" s="150">
        <f t="shared" si="10"/>
        <v>3.594285074342713</v>
      </c>
      <c r="L30" s="150">
        <f t="shared" si="11"/>
        <v>45.96485596343378</v>
      </c>
      <c r="M30" s="150">
        <f t="shared" si="2"/>
        <v>59.3030096844219</v>
      </c>
      <c r="N30" s="150">
        <f t="shared" si="3"/>
        <v>6.045101735179228</v>
      </c>
      <c r="O30" s="150">
        <f t="shared" si="12"/>
        <v>59.61031968224382</v>
      </c>
      <c r="P30" s="150">
        <f t="shared" si="4"/>
        <v>109.47004695834151</v>
      </c>
      <c r="Q30" s="151">
        <f t="shared" si="5"/>
        <v>11.094559215088927</v>
      </c>
    </row>
  </sheetData>
  <sheetProtection sheet="1" objects="1" scenarios="1"/>
  <mergeCells count="9">
    <mergeCell ref="A1:H1"/>
    <mergeCell ref="J2:Q2"/>
    <mergeCell ref="S7:U7"/>
    <mergeCell ref="S8:U8"/>
    <mergeCell ref="S9:U9"/>
    <mergeCell ref="E2:G2"/>
    <mergeCell ref="E3:G3"/>
    <mergeCell ref="J3:L3"/>
    <mergeCell ref="M3:O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workbookViewId="0" topLeftCell="A1">
      <selection activeCell="D45" sqref="D45"/>
    </sheetView>
  </sheetViews>
  <sheetFormatPr defaultColWidth="9.140625" defaultRowHeight="12.75"/>
  <cols>
    <col min="1" max="1" width="13.140625" style="1" customWidth="1"/>
    <col min="2" max="2" width="7.28125" style="0" bestFit="1" customWidth="1"/>
    <col min="3" max="3" width="7.28125" style="0" customWidth="1"/>
    <col min="4" max="4" width="7.28125" style="0" bestFit="1" customWidth="1"/>
    <col min="5" max="5" width="11.00390625" style="0" bestFit="1" customWidth="1"/>
    <col min="6" max="9" width="8.7109375" style="0" customWidth="1"/>
    <col min="13" max="18" width="9.140625" style="0" hidden="1" customWidth="1"/>
    <col min="19" max="19" width="12.140625" style="0" hidden="1" customWidth="1"/>
    <col min="20" max="16384" width="9.140625" style="0" hidden="1" customWidth="1"/>
  </cols>
  <sheetData>
    <row r="1" ht="17.25">
      <c r="C1" s="177" t="s">
        <v>117</v>
      </c>
    </row>
    <row r="3" spans="1:6" ht="13.5" thickBot="1">
      <c r="A3" s="226" t="s">
        <v>60</v>
      </c>
      <c r="B3" s="226"/>
      <c r="C3" s="226"/>
      <c r="D3" s="226"/>
      <c r="E3" s="226"/>
      <c r="F3" s="226"/>
    </row>
    <row r="4" spans="1:12" s="1" customFormat="1" ht="12.75">
      <c r="A4" s="68"/>
      <c r="B4" s="63"/>
      <c r="C4" s="5" t="s">
        <v>76</v>
      </c>
      <c r="D4" s="5" t="s">
        <v>25</v>
      </c>
      <c r="E4" s="5" t="s">
        <v>66</v>
      </c>
      <c r="F4" s="64" t="s">
        <v>67</v>
      </c>
      <c r="G4" s="251" t="s">
        <v>3</v>
      </c>
      <c r="H4" s="252"/>
      <c r="I4" s="94">
        <f>'Resistance Calibration'!$B$17</f>
        <v>37.293747895386694</v>
      </c>
      <c r="J4" s="242" t="s">
        <v>115</v>
      </c>
      <c r="K4" s="214"/>
      <c r="L4" s="62"/>
    </row>
    <row r="5" spans="1:12" s="1" customFormat="1" ht="13.5" thickBot="1">
      <c r="A5" s="210" t="s">
        <v>61</v>
      </c>
      <c r="B5" s="211"/>
      <c r="C5" s="14" t="s">
        <v>78</v>
      </c>
      <c r="D5" s="14" t="s">
        <v>71</v>
      </c>
      <c r="E5" s="14" t="s">
        <v>69</v>
      </c>
      <c r="F5" s="67" t="s">
        <v>68</v>
      </c>
      <c r="G5" s="249" t="s">
        <v>4</v>
      </c>
      <c r="H5" s="250"/>
      <c r="I5" s="95">
        <f>'Resistance Calibration'!$B$18</f>
        <v>-6.38713660343475</v>
      </c>
      <c r="J5" s="242" t="s">
        <v>116</v>
      </c>
      <c r="K5" s="214"/>
      <c r="L5" s="62"/>
    </row>
    <row r="6" spans="1:12" ht="13.5" thickBot="1">
      <c r="A6" s="6" t="s">
        <v>62</v>
      </c>
      <c r="B6" s="178">
        <v>78.25</v>
      </c>
      <c r="C6" s="52" t="s">
        <v>64</v>
      </c>
      <c r="D6" s="178">
        <v>25.55</v>
      </c>
      <c r="E6" s="71">
        <f>4*$B$7*D6/299.79</f>
        <v>0.6775663297641682</v>
      </c>
      <c r="F6" s="72">
        <f>E6^-2</f>
        <v>2.178193044930778</v>
      </c>
      <c r="G6" s="247" t="s">
        <v>30</v>
      </c>
      <c r="H6" s="248"/>
      <c r="I6" s="23">
        <v>200</v>
      </c>
      <c r="J6" s="188" t="s">
        <v>36</v>
      </c>
      <c r="K6" s="102"/>
      <c r="L6" s="102"/>
    </row>
    <row r="7" spans="1:12" ht="13.5" thickBot="1">
      <c r="A7" s="55" t="s">
        <v>63</v>
      </c>
      <c r="B7" s="179">
        <f>B6*0.0254</f>
        <v>1.98755</v>
      </c>
      <c r="C7" s="69" t="s">
        <v>65</v>
      </c>
      <c r="D7" s="180">
        <v>24.44</v>
      </c>
      <c r="E7" s="73">
        <f>4*$B$7*D7/299.79</f>
        <v>0.6481299843223589</v>
      </c>
      <c r="F7" s="74">
        <f>E7^-2</f>
        <v>2.380541586887398</v>
      </c>
      <c r="G7" s="253"/>
      <c r="H7" s="227"/>
      <c r="I7" s="227"/>
      <c r="J7" s="227"/>
      <c r="K7" s="62"/>
      <c r="L7" s="62"/>
    </row>
    <row r="8" spans="1:6" ht="13.5" thickBot="1">
      <c r="A8" s="77"/>
      <c r="B8" s="78"/>
      <c r="C8" s="76" t="s">
        <v>70</v>
      </c>
      <c r="D8" s="70">
        <f>SQRT(D6*D7)</f>
        <v>24.988837507975436</v>
      </c>
      <c r="E8" s="27">
        <f>4*$B$7*D8/299.79</f>
        <v>0.6626847324991036</v>
      </c>
      <c r="F8" s="28">
        <f>E8^-2</f>
        <v>2.277120797789746</v>
      </c>
    </row>
    <row r="11" spans="1:21" ht="15.75" thickBot="1">
      <c r="A11" s="226" t="s">
        <v>58</v>
      </c>
      <c r="B11" s="226"/>
      <c r="C11" s="226"/>
      <c r="D11" s="226"/>
      <c r="E11" s="226"/>
      <c r="F11" s="226"/>
      <c r="G11" s="226"/>
      <c r="H11" s="226"/>
      <c r="I11" s="226"/>
      <c r="J11" s="2"/>
      <c r="K11" s="2"/>
      <c r="L11" s="2"/>
      <c r="M11" s="2"/>
      <c r="N11" s="3"/>
      <c r="O11" s="3"/>
      <c r="P11" s="3"/>
      <c r="Q11" s="3"/>
      <c r="R11" s="2"/>
      <c r="S11" s="2"/>
      <c r="T11" s="2"/>
      <c r="U11" s="2"/>
    </row>
    <row r="12" spans="1:18" ht="15">
      <c r="A12" s="88"/>
      <c r="B12" s="85"/>
      <c r="C12" s="4"/>
      <c r="D12" s="5" t="s">
        <v>49</v>
      </c>
      <c r="E12" s="5" t="s">
        <v>37</v>
      </c>
      <c r="F12" s="240" t="s">
        <v>17</v>
      </c>
      <c r="G12" s="228"/>
      <c r="H12" s="228"/>
      <c r="I12" s="243"/>
      <c r="M12" s="223" t="s">
        <v>42</v>
      </c>
      <c r="N12" s="224"/>
      <c r="O12" s="224"/>
      <c r="P12" s="224"/>
      <c r="Q12" s="224"/>
      <c r="R12" s="224"/>
    </row>
    <row r="13" spans="1:18" ht="15">
      <c r="A13" s="8" t="s">
        <v>76</v>
      </c>
      <c r="B13" s="86" t="s">
        <v>25</v>
      </c>
      <c r="C13" s="9"/>
      <c r="D13" s="9" t="s">
        <v>50</v>
      </c>
      <c r="E13" s="9" t="s">
        <v>38</v>
      </c>
      <c r="F13" s="244" t="s">
        <v>40</v>
      </c>
      <c r="G13" s="245"/>
      <c r="H13" s="245"/>
      <c r="I13" s="246"/>
      <c r="M13" s="232" t="s">
        <v>28</v>
      </c>
      <c r="N13" s="233"/>
      <c r="O13" s="233"/>
      <c r="P13" s="234" t="s">
        <v>29</v>
      </c>
      <c r="Q13" s="234"/>
      <c r="R13" s="234"/>
    </row>
    <row r="14" spans="1:18" ht="15.75" thickBot="1">
      <c r="A14" s="13" t="s">
        <v>77</v>
      </c>
      <c r="B14" s="87" t="s">
        <v>71</v>
      </c>
      <c r="C14" s="14" t="s">
        <v>51</v>
      </c>
      <c r="D14" s="14" t="s">
        <v>52</v>
      </c>
      <c r="E14" s="14" t="s">
        <v>39</v>
      </c>
      <c r="F14" s="15" t="s">
        <v>32</v>
      </c>
      <c r="G14" s="15" t="s">
        <v>33</v>
      </c>
      <c r="H14" s="15" t="s">
        <v>34</v>
      </c>
      <c r="I14" s="65" t="s">
        <v>59</v>
      </c>
      <c r="M14" s="17" t="s">
        <v>32</v>
      </c>
      <c r="N14" s="10" t="s">
        <v>33</v>
      </c>
      <c r="O14" s="10" t="s">
        <v>34</v>
      </c>
      <c r="P14" s="10" t="s">
        <v>32</v>
      </c>
      <c r="Q14" s="10" t="s">
        <v>33</v>
      </c>
      <c r="R14" s="10" t="s">
        <v>34</v>
      </c>
    </row>
    <row r="15" spans="1:21" ht="12.75">
      <c r="A15" s="89" t="s">
        <v>64</v>
      </c>
      <c r="B15" s="187">
        <v>5</v>
      </c>
      <c r="C15" s="124">
        <v>0.9</v>
      </c>
      <c r="D15" s="124">
        <v>-110</v>
      </c>
      <c r="E15" s="152">
        <v>0</v>
      </c>
      <c r="F15" s="71">
        <f aca="true" t="shared" si="0" ref="F15:H18">IF($E15=0,M15,P15)</f>
        <v>27.177236502413276</v>
      </c>
      <c r="G15" s="71">
        <f t="shared" si="0"/>
        <v>-277.8895831763252</v>
      </c>
      <c r="H15" s="71">
        <f t="shared" si="0"/>
        <v>279.21536960171056</v>
      </c>
      <c r="I15" s="192">
        <f>SQRT(H15*H16)</f>
        <v>114.40622953779936</v>
      </c>
      <c r="M15" s="19">
        <f>C15*$I$4+$I$5</f>
        <v>27.177236502413276</v>
      </c>
      <c r="N15" s="20">
        <f>1000000/2/PI()/180*D15/B15/(D15+180)</f>
        <v>-277.8895831763252</v>
      </c>
      <c r="O15" s="20">
        <f>SQRT(M15^2+N15^2)</f>
        <v>279.21536960171056</v>
      </c>
      <c r="P15" s="20">
        <f>$I$6*($I$6*M15-M15^2-N15^2)/(N15^2+($I$6-M15)^2)</f>
        <v>-135.44785353017815</v>
      </c>
      <c r="Q15" s="20">
        <f>$I$6^2*N15/(N15^2+($I$6-M15)^2)</f>
        <v>-103.79633280130007</v>
      </c>
      <c r="R15" s="20">
        <f>SQRT(P15^2+Q15^2)</f>
        <v>170.64524525731983</v>
      </c>
      <c r="S15" s="2"/>
      <c r="T15" s="2"/>
      <c r="U15" s="2"/>
    </row>
    <row r="16" spans="1:18" ht="12.75">
      <c r="A16" s="81" t="s">
        <v>65</v>
      </c>
      <c r="B16" s="181">
        <v>5</v>
      </c>
      <c r="C16" s="135">
        <v>0.7</v>
      </c>
      <c r="D16" s="135">
        <v>50</v>
      </c>
      <c r="E16" s="153">
        <v>1</v>
      </c>
      <c r="F16" s="73">
        <f t="shared" si="0"/>
        <v>12.22507196372573</v>
      </c>
      <c r="G16" s="73">
        <f t="shared" si="0"/>
        <v>45.254866247190975</v>
      </c>
      <c r="H16" s="73">
        <f t="shared" si="0"/>
        <v>46.877023194411755</v>
      </c>
      <c r="I16" s="108"/>
      <c r="M16" s="19">
        <f>C16*$I$4+$I$5</f>
        <v>19.718486923335934</v>
      </c>
      <c r="N16" s="20">
        <f>1000000/2/PI()/180*D16/B16/(D16+180)</f>
        <v>38.44322296905684</v>
      </c>
      <c r="O16" s="20">
        <f>SQRT(M16^2+N16^2)</f>
        <v>43.20532512080415</v>
      </c>
      <c r="P16" s="20">
        <f>$I$6*($I$6*M16-M16^2-N16^2)/(N16^2+($I$6-M16)^2)</f>
        <v>12.22507196372573</v>
      </c>
      <c r="Q16" s="20">
        <f>$I$6^2*N16/(N16^2+($I$6-M16)^2)</f>
        <v>45.254866247190975</v>
      </c>
      <c r="R16" s="20">
        <f>SQRT(P16^2+Q16^2)</f>
        <v>46.877023194411755</v>
      </c>
    </row>
    <row r="17" spans="1:18" ht="12.75">
      <c r="A17" s="81" t="s">
        <v>64</v>
      </c>
      <c r="B17" s="181">
        <v>7</v>
      </c>
      <c r="C17" s="135">
        <v>0.5</v>
      </c>
      <c r="D17" s="135">
        <v>-110</v>
      </c>
      <c r="E17" s="153">
        <v>0</v>
      </c>
      <c r="F17" s="73">
        <f t="shared" si="0"/>
        <v>12.259737344258596</v>
      </c>
      <c r="G17" s="73">
        <f t="shared" si="0"/>
        <v>-198.49255941166084</v>
      </c>
      <c r="H17" s="73">
        <f t="shared" si="0"/>
        <v>198.87080555361038</v>
      </c>
      <c r="I17" s="193">
        <f>SQRT(H17*H18)</f>
        <v>114.4559416920835</v>
      </c>
      <c r="M17" s="19">
        <f>C17*$I$4+$I$5</f>
        <v>12.259737344258596</v>
      </c>
      <c r="N17" s="20">
        <f>1000000/2/PI()/180*D17/B17/(D17+180)</f>
        <v>-198.49255941166084</v>
      </c>
      <c r="O17" s="20">
        <f>SQRT(M17^2+N17^2)</f>
        <v>198.87080555361038</v>
      </c>
      <c r="P17" s="20">
        <f>$I$6*($I$6*M17-M17^2-N17^2)/(N17^2+($I$6-M17)^2)</f>
        <v>-99.396612686069</v>
      </c>
      <c r="Q17" s="20">
        <f>$I$6^2*N17/(N17^2+($I$6-M17)^2)</f>
        <v>-106.36516403538806</v>
      </c>
      <c r="R17" s="20">
        <f>SQRT(P17^2+Q17^2)</f>
        <v>145.57896391216494</v>
      </c>
    </row>
    <row r="18" spans="1:18" ht="13.5" thickBot="1">
      <c r="A18" s="82" t="s">
        <v>65</v>
      </c>
      <c r="B18" s="183">
        <v>7</v>
      </c>
      <c r="C18" s="142">
        <v>0.9</v>
      </c>
      <c r="D18" s="142">
        <v>130</v>
      </c>
      <c r="E18" s="154">
        <v>1</v>
      </c>
      <c r="F18" s="75">
        <f t="shared" si="0"/>
        <v>11.575161400532908</v>
      </c>
      <c r="G18" s="75">
        <f t="shared" si="0"/>
        <v>64.84776020620723</v>
      </c>
      <c r="H18" s="75">
        <f t="shared" si="0"/>
        <v>65.87272853928354</v>
      </c>
      <c r="I18" s="194"/>
      <c r="M18" s="19">
        <f>C18*$I$4+$I$5</f>
        <v>27.177236502413276</v>
      </c>
      <c r="N18" s="20">
        <f>1000000/2/PI()/180*D18/B18/(D18+180)</f>
        <v>52.970155150912426</v>
      </c>
      <c r="O18" s="20">
        <f>SQRT(M18^2+N18^2)</f>
        <v>59.535195646103645</v>
      </c>
      <c r="P18" s="20">
        <f>$I$6*($I$6*M18-M18^2-N18^2)/(N18^2+($I$6-M18)^2)</f>
        <v>11.575161400532908</v>
      </c>
      <c r="Q18" s="20">
        <f>$I$6^2*N18/(N18^2+($I$6-M18)^2)</f>
        <v>64.84776020620723</v>
      </c>
      <c r="R18" s="20">
        <f>SQRT(P18^2+Q18^2)</f>
        <v>65.87272853928354</v>
      </c>
    </row>
    <row r="19" spans="2:21" ht="15">
      <c r="B19" s="79"/>
      <c r="H19" s="80" t="s">
        <v>73</v>
      </c>
      <c r="I19" s="18">
        <f>SQRT(I15*I17)</f>
        <v>114.43108291539272</v>
      </c>
      <c r="J19" s="66"/>
      <c r="K19" s="66"/>
      <c r="L19" s="66"/>
      <c r="M19" s="66"/>
      <c r="N19" s="66"/>
      <c r="O19" s="66"/>
      <c r="P19" s="66"/>
      <c r="Q19" s="66"/>
      <c r="R19" s="2"/>
      <c r="S19" s="62"/>
      <c r="T19" s="62"/>
      <c r="U19" s="62"/>
    </row>
    <row r="20" spans="5:21" ht="13.5" thickBot="1">
      <c r="E20" s="266" t="s">
        <v>84</v>
      </c>
      <c r="F20" s="266"/>
      <c r="G20" t="s">
        <v>85</v>
      </c>
      <c r="H20" s="22" t="s">
        <v>72</v>
      </c>
      <c r="I20" s="96">
        <v>18</v>
      </c>
      <c r="J20" s="66"/>
      <c r="K20" s="66"/>
      <c r="L20" s="66"/>
      <c r="Q20" s="66"/>
      <c r="R20" s="2"/>
      <c r="S20" s="62"/>
      <c r="T20" s="62"/>
      <c r="U20" s="62"/>
    </row>
    <row r="21" spans="1:21" ht="15">
      <c r="A21" s="217" t="s">
        <v>46</v>
      </c>
      <c r="B21" s="217"/>
      <c r="C21" s="217"/>
      <c r="D21" s="217"/>
      <c r="E21" s="259" t="s">
        <v>88</v>
      </c>
      <c r="F21" s="260"/>
      <c r="G21" s="212" t="s">
        <v>75</v>
      </c>
      <c r="H21" s="213"/>
      <c r="I21" s="108">
        <f>0.5*0.127*92^((36-I20)/39)</f>
        <v>0.5118436714163261</v>
      </c>
      <c r="J21" s="66"/>
      <c r="K21" s="66"/>
      <c r="L21" s="66"/>
      <c r="Q21" s="66"/>
      <c r="R21" s="2"/>
      <c r="S21" s="62"/>
      <c r="T21" s="62"/>
      <c r="U21" s="62"/>
    </row>
    <row r="22" spans="1:9" ht="13.5" thickBot="1">
      <c r="A22" s="217" t="s">
        <v>43</v>
      </c>
      <c r="B22" s="217"/>
      <c r="C22" s="217"/>
      <c r="D22" s="217"/>
      <c r="G22" s="257" t="s">
        <v>74</v>
      </c>
      <c r="H22" s="258"/>
      <c r="I22" s="109">
        <f>10^(I19*SQRT(F8)/276+LOG(I21))</f>
        <v>2.1616347476407767</v>
      </c>
    </row>
    <row r="23" spans="1:9" ht="12.75">
      <c r="A23" s="227" t="s">
        <v>86</v>
      </c>
      <c r="B23" s="227"/>
      <c r="C23" s="227"/>
      <c r="D23" s="227"/>
      <c r="G23" s="83"/>
      <c r="H23" s="83"/>
      <c r="I23" s="84"/>
    </row>
    <row r="24" spans="2:9" ht="12.75">
      <c r="B24" s="1"/>
      <c r="C24" s="1"/>
      <c r="D24" s="1"/>
      <c r="E24" s="1"/>
      <c r="G24" s="62"/>
      <c r="H24" s="62"/>
      <c r="I24" s="93"/>
    </row>
    <row r="25" spans="1:24" ht="13.5" thickBot="1">
      <c r="A25" s="226" t="s">
        <v>114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103"/>
      <c r="L25" s="103"/>
      <c r="M25" s="2"/>
      <c r="N25" s="2"/>
      <c r="O25" s="3"/>
      <c r="P25" s="3"/>
      <c r="Q25" s="3"/>
      <c r="R25" s="3"/>
      <c r="S25" s="3"/>
      <c r="T25" s="2"/>
      <c r="U25" s="2"/>
      <c r="V25" s="2"/>
      <c r="W25" s="2"/>
      <c r="X25" s="2"/>
    </row>
    <row r="26" spans="1:18" ht="15">
      <c r="A26" s="88" t="s">
        <v>103</v>
      </c>
      <c r="B26" s="63" t="s">
        <v>25</v>
      </c>
      <c r="C26" s="4"/>
      <c r="D26" s="5" t="s">
        <v>49</v>
      </c>
      <c r="E26" s="5" t="s">
        <v>37</v>
      </c>
      <c r="F26" s="240" t="s">
        <v>17</v>
      </c>
      <c r="G26" s="228"/>
      <c r="H26" s="229"/>
      <c r="I26" s="261" t="s">
        <v>17</v>
      </c>
      <c r="J26" s="262"/>
      <c r="K26" s="114" t="s">
        <v>105</v>
      </c>
      <c r="M26" s="215" t="s">
        <v>42</v>
      </c>
      <c r="N26" s="216"/>
      <c r="O26" s="216"/>
      <c r="P26" s="216"/>
      <c r="Q26" s="216"/>
      <c r="R26" s="209"/>
    </row>
    <row r="27" spans="1:18" ht="15">
      <c r="A27" s="8" t="s">
        <v>81</v>
      </c>
      <c r="B27" s="86" t="s">
        <v>71</v>
      </c>
      <c r="C27" s="9"/>
      <c r="D27" s="9" t="s">
        <v>50</v>
      </c>
      <c r="E27" s="9" t="s">
        <v>38</v>
      </c>
      <c r="F27" s="231" t="s">
        <v>40</v>
      </c>
      <c r="G27" s="231"/>
      <c r="H27" s="231"/>
      <c r="I27" s="263" t="s">
        <v>113</v>
      </c>
      <c r="J27" s="264"/>
      <c r="K27" s="115" t="s">
        <v>66</v>
      </c>
      <c r="M27" s="232" t="s">
        <v>28</v>
      </c>
      <c r="N27" s="233"/>
      <c r="O27" s="233"/>
      <c r="P27" s="234" t="s">
        <v>29</v>
      </c>
      <c r="Q27" s="234"/>
      <c r="R27" s="234"/>
    </row>
    <row r="28" spans="1:18" ht="15.75" thickBot="1">
      <c r="A28" s="13" t="s">
        <v>104</v>
      </c>
      <c r="B28" s="92" t="s">
        <v>83</v>
      </c>
      <c r="C28" s="14" t="s">
        <v>51</v>
      </c>
      <c r="D28" s="14" t="s">
        <v>52</v>
      </c>
      <c r="E28" s="14" t="s">
        <v>39</v>
      </c>
      <c r="F28" s="15" t="s">
        <v>32</v>
      </c>
      <c r="G28" s="91" t="s">
        <v>33</v>
      </c>
      <c r="H28" s="15" t="s">
        <v>34</v>
      </c>
      <c r="I28" s="90" t="str">
        <f>"dB/"&amp;FIXED(G33,0)&amp;"'"</f>
        <v>dB/35'</v>
      </c>
      <c r="J28" s="116" t="s">
        <v>80</v>
      </c>
      <c r="K28" s="16" t="s">
        <v>106</v>
      </c>
      <c r="M28" s="17" t="s">
        <v>32</v>
      </c>
      <c r="N28" s="10" t="s">
        <v>33</v>
      </c>
      <c r="O28" s="10" t="s">
        <v>34</v>
      </c>
      <c r="P28" s="10" t="s">
        <v>32</v>
      </c>
      <c r="Q28" s="10" t="s">
        <v>33</v>
      </c>
      <c r="R28" s="10" t="s">
        <v>34</v>
      </c>
    </row>
    <row r="29" spans="1:18" ht="12.75">
      <c r="A29" s="89">
        <v>0.5</v>
      </c>
      <c r="B29" s="181">
        <v>9</v>
      </c>
      <c r="C29" s="135">
        <v>0.8</v>
      </c>
      <c r="D29" s="135">
        <v>0</v>
      </c>
      <c r="E29" s="153">
        <v>0</v>
      </c>
      <c r="F29" s="73">
        <f aca="true" t="shared" si="1" ref="F29:H31">IF($E29=0,M29,P29)</f>
        <v>23.447861712874605</v>
      </c>
      <c r="G29" s="182">
        <f t="shared" si="1"/>
        <v>0</v>
      </c>
      <c r="H29" s="73">
        <f t="shared" si="1"/>
        <v>23.447861712874605</v>
      </c>
      <c r="I29" s="112">
        <f>H29/$I$19*8.69</f>
        <v>1.7806518394616295</v>
      </c>
      <c r="J29" s="117">
        <f>IF(I29&gt;0,I29*100/$G$33,"")</f>
        <v>5.044977651981449</v>
      </c>
      <c r="K29" s="108">
        <f>K$31*A$31/A29/(B$31/B29)</f>
        <v>0.6459381869124837</v>
      </c>
      <c r="M29" s="19">
        <f>C29*$I$4+$I$5</f>
        <v>23.447861712874605</v>
      </c>
      <c r="N29" s="20">
        <f>1000000/2/PI()/180*D29/B29/(D29+180)</f>
        <v>0</v>
      </c>
      <c r="O29" s="20">
        <f>SQRT(M29^2+N29^2)</f>
        <v>23.447861712874605</v>
      </c>
      <c r="P29" s="20">
        <f>$I$6*($I$6*M29-M29^2-N29^2)/(N29^2+($I$6-M29)^2)</f>
        <v>26.561968538428605</v>
      </c>
      <c r="Q29" s="20">
        <f>$I$6^2*N29/(N29^2+($I$6-M29)^2)</f>
        <v>0</v>
      </c>
      <c r="R29" s="20">
        <f>SQRT(P29^2+Q29^2)</f>
        <v>26.561968538428605</v>
      </c>
    </row>
    <row r="30" spans="1:18" ht="12.75">
      <c r="A30" s="81">
        <v>1</v>
      </c>
      <c r="B30" s="181">
        <v>18.25</v>
      </c>
      <c r="C30" s="135">
        <v>1.1</v>
      </c>
      <c r="D30" s="135">
        <v>0</v>
      </c>
      <c r="E30" s="153">
        <v>0</v>
      </c>
      <c r="F30" s="73">
        <f t="shared" si="1"/>
        <v>34.63598608149062</v>
      </c>
      <c r="G30" s="182">
        <f t="shared" si="1"/>
        <v>0</v>
      </c>
      <c r="H30" s="73">
        <f t="shared" si="1"/>
        <v>34.63598608149062</v>
      </c>
      <c r="I30" s="112">
        <f>H30/$I$19*8.69</f>
        <v>2.6302881295870897</v>
      </c>
      <c r="J30" s="117">
        <f>IF(I30&gt;0,I30*100/$G$33,"")</f>
        <v>7.452183822779745</v>
      </c>
      <c r="K30" s="25">
        <f>K$31*A$31/A30/(B$31/B30)</f>
        <v>0.6549095506196015</v>
      </c>
      <c r="M30" s="19">
        <f>C30*$I$4+$I$5</f>
        <v>34.63598608149062</v>
      </c>
      <c r="N30" s="20">
        <f>1000000/2/PI()/180*D30/B30/(D30+180)</f>
        <v>0</v>
      </c>
      <c r="O30" s="20">
        <f>SQRT(M30^2+N30^2)</f>
        <v>34.63598608149062</v>
      </c>
      <c r="P30" s="20">
        <f>$I$6*($I$6*M30-M30^2-N30^2)/(N30^2+($I$6-M30)^2)</f>
        <v>41.89059670329371</v>
      </c>
      <c r="Q30" s="20">
        <f>$I$6^2*N30/(N30^2+($I$6-M30)^2)</f>
        <v>0</v>
      </c>
      <c r="R30" s="21">
        <f>SQRT(P30^2+Q30^2)</f>
        <v>41.89059670329371</v>
      </c>
    </row>
    <row r="31" spans="1:18" ht="13.5" thickBot="1">
      <c r="A31" s="82">
        <v>1.5</v>
      </c>
      <c r="B31" s="183">
        <v>27.7</v>
      </c>
      <c r="C31" s="142">
        <v>1.2</v>
      </c>
      <c r="D31" s="142">
        <v>0</v>
      </c>
      <c r="E31" s="154">
        <v>0</v>
      </c>
      <c r="F31" s="75">
        <f t="shared" si="1"/>
        <v>38.36536087102928</v>
      </c>
      <c r="G31" s="184">
        <f t="shared" si="1"/>
        <v>0</v>
      </c>
      <c r="H31" s="75">
        <f t="shared" si="1"/>
        <v>38.36536087102928</v>
      </c>
      <c r="I31" s="113">
        <f>H31/$I$19*8.69</f>
        <v>2.9135002262955756</v>
      </c>
      <c r="J31" s="118">
        <f>IF(I31&gt;0,I31*100/$G$33,"")</f>
        <v>8.254585879712508</v>
      </c>
      <c r="K31" s="28">
        <f>E8</f>
        <v>0.6626847324991036</v>
      </c>
      <c r="M31" s="29">
        <f>C31*$I$4+$I$5</f>
        <v>38.36536087102928</v>
      </c>
      <c r="N31" s="30">
        <f>1000000/2/PI()/180*D31/B31/(D31+180)</f>
        <v>0</v>
      </c>
      <c r="O31" s="30">
        <f>SQRT(M31^2+N31^2)</f>
        <v>38.36536087102928</v>
      </c>
      <c r="P31" s="30">
        <f>$I$6*($I$6*M31-M31^2-N31^2)/(N31^2+($I$6-M31)^2)</f>
        <v>47.47170665616667</v>
      </c>
      <c r="Q31" s="30">
        <f>$I$6^2*N31/(N31^2+($I$6-M31)^2)</f>
        <v>0</v>
      </c>
      <c r="R31" s="31">
        <f>SQRT(P31^2+Q31^2)</f>
        <v>47.47170665616667</v>
      </c>
    </row>
    <row r="32" spans="19:21" ht="13.5" thickBot="1">
      <c r="S32" s="217"/>
      <c r="T32" s="217"/>
      <c r="U32" s="217"/>
    </row>
    <row r="33" spans="1:21" ht="13.5" thickBot="1">
      <c r="A33" s="254" t="s">
        <v>87</v>
      </c>
      <c r="B33" s="255"/>
      <c r="C33" s="255"/>
      <c r="D33" s="256"/>
      <c r="E33" s="99">
        <f>299.79/B31*E8*1.5</f>
        <v>10.758100503027418</v>
      </c>
      <c r="F33" s="100" t="s">
        <v>63</v>
      </c>
      <c r="G33" s="97">
        <f>E33*39.37/12</f>
        <v>35.29553473368245</v>
      </c>
      <c r="H33" s="98" t="s">
        <v>82</v>
      </c>
      <c r="S33" s="217"/>
      <c r="T33" s="217"/>
      <c r="U33" s="217"/>
    </row>
    <row r="34" spans="19:21" ht="12.75">
      <c r="S34" s="227"/>
      <c r="T34" s="227"/>
      <c r="U34" s="227"/>
    </row>
    <row r="35" spans="1:21" ht="13.5" thickBot="1">
      <c r="A35" s="226" t="s">
        <v>112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S35" s="2"/>
      <c r="T35" s="2"/>
      <c r="U35" s="2"/>
    </row>
    <row r="36" spans="1:20" ht="12.75">
      <c r="A36" s="104" t="s">
        <v>71</v>
      </c>
      <c r="B36" s="105">
        <v>1.8</v>
      </c>
      <c r="C36" s="105">
        <v>3.5</v>
      </c>
      <c r="D36" s="105">
        <v>5.3</v>
      </c>
      <c r="E36" s="105">
        <v>7</v>
      </c>
      <c r="F36" s="105">
        <v>10.1</v>
      </c>
      <c r="G36" s="105">
        <v>14</v>
      </c>
      <c r="H36" s="105">
        <v>18.1</v>
      </c>
      <c r="I36" s="105">
        <v>21</v>
      </c>
      <c r="J36" s="105">
        <v>24.9</v>
      </c>
      <c r="K36" s="105">
        <v>28</v>
      </c>
      <c r="L36" s="195">
        <v>50</v>
      </c>
      <c r="R36" s="2"/>
      <c r="S36" s="2"/>
      <c r="T36" s="2"/>
    </row>
    <row r="37" spans="1:20" ht="12.75">
      <c r="A37" s="110" t="str">
        <f>I28</f>
        <v>dB/35'</v>
      </c>
      <c r="B37" s="111">
        <f>$I31*(B$36/$B31)^0.5</f>
        <v>0.7426965801964613</v>
      </c>
      <c r="C37" s="111">
        <f aca="true" t="shared" si="2" ref="C37:K37">$I31*(C$36/$B31)^0.5</f>
        <v>1.0356409008232308</v>
      </c>
      <c r="D37" s="111">
        <f t="shared" si="2"/>
        <v>1.2744215494464426</v>
      </c>
      <c r="E37" s="111">
        <f t="shared" si="2"/>
        <v>1.4646174076925025</v>
      </c>
      <c r="F37" s="111">
        <f t="shared" si="2"/>
        <v>1.7592836173629087</v>
      </c>
      <c r="G37" s="111">
        <f t="shared" si="2"/>
        <v>2.0712818016464616</v>
      </c>
      <c r="H37" s="111">
        <f t="shared" si="2"/>
        <v>2.355127692370049</v>
      </c>
      <c r="I37" s="111">
        <f t="shared" si="2"/>
        <v>2.5367917637732345</v>
      </c>
      <c r="J37" s="111">
        <f t="shared" si="2"/>
        <v>2.7623254529939096</v>
      </c>
      <c r="K37" s="111">
        <f t="shared" si="2"/>
        <v>2.929234815385005</v>
      </c>
      <c r="L37" s="111">
        <f>$I31*(L$36/$B31)^0.5</f>
        <v>3.9143546730645378</v>
      </c>
      <c r="R37" s="2"/>
      <c r="S37" s="2"/>
      <c r="T37" s="2"/>
    </row>
    <row r="38" spans="1:20" ht="13.5" thickBot="1">
      <c r="A38" s="106" t="str">
        <f>J28</f>
        <v>dB/100'</v>
      </c>
      <c r="B38" s="107">
        <f>$J31*(B$36/$B31)^0.5</f>
        <v>2.10422249103286</v>
      </c>
      <c r="C38" s="107">
        <f aca="true" t="shared" si="3" ref="C38:K38">$J31*(C$36/$B31)^0.5</f>
        <v>2.9341980753019183</v>
      </c>
      <c r="D38" s="107">
        <f t="shared" si="3"/>
        <v>3.6107160836701104</v>
      </c>
      <c r="E38" s="107">
        <f t="shared" si="3"/>
        <v>4.149582712781005</v>
      </c>
      <c r="F38" s="107">
        <f t="shared" si="3"/>
        <v>4.984436786798495</v>
      </c>
      <c r="G38" s="107">
        <f t="shared" si="3"/>
        <v>5.868396150603837</v>
      </c>
      <c r="H38" s="107">
        <f t="shared" si="3"/>
        <v>6.672593885148184</v>
      </c>
      <c r="I38" s="107">
        <f t="shared" si="3"/>
        <v>7.187288088746193</v>
      </c>
      <c r="J38" s="107">
        <f t="shared" si="3"/>
        <v>7.826274552394947</v>
      </c>
      <c r="K38" s="107">
        <f t="shared" si="3"/>
        <v>8.29916542556201</v>
      </c>
      <c r="L38" s="107">
        <f>$J31*(L$36/$B31)^0.5</f>
        <v>11.090226292361786</v>
      </c>
      <c r="R38" s="2"/>
      <c r="S38" s="2"/>
      <c r="T38" s="2"/>
    </row>
    <row r="39" spans="1:20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Q39" s="2"/>
      <c r="R39" s="2"/>
      <c r="S39" s="2"/>
      <c r="T39" s="2"/>
    </row>
    <row r="40" spans="1:20" ht="13.5" thickBot="1">
      <c r="A40" s="265" t="s">
        <v>125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Q40" s="2"/>
      <c r="R40" s="2"/>
      <c r="S40" s="2"/>
      <c r="T40" s="2"/>
    </row>
    <row r="41" spans="1:20" s="271" customFormat="1" ht="12.75">
      <c r="A41" s="270" t="s">
        <v>71</v>
      </c>
      <c r="B41" s="269">
        <f>B36</f>
        <v>1.8</v>
      </c>
      <c r="C41" s="269">
        <f aca="true" t="shared" si="4" ref="C41:L41">C36</f>
        <v>3.5</v>
      </c>
      <c r="D41" s="269">
        <f t="shared" si="4"/>
        <v>5.3</v>
      </c>
      <c r="E41" s="269">
        <f t="shared" si="4"/>
        <v>7</v>
      </c>
      <c r="F41" s="269">
        <f t="shared" si="4"/>
        <v>10.1</v>
      </c>
      <c r="G41" s="269">
        <f t="shared" si="4"/>
        <v>14</v>
      </c>
      <c r="H41" s="269">
        <f t="shared" si="4"/>
        <v>18.1</v>
      </c>
      <c r="I41" s="269">
        <f t="shared" si="4"/>
        <v>21</v>
      </c>
      <c r="J41" s="269">
        <f t="shared" si="4"/>
        <v>24.9</v>
      </c>
      <c r="K41" s="269">
        <f t="shared" si="4"/>
        <v>28</v>
      </c>
      <c r="L41" s="269">
        <f t="shared" si="4"/>
        <v>50</v>
      </c>
      <c r="Q41" s="272"/>
      <c r="R41" s="272"/>
      <c r="S41" s="272"/>
      <c r="T41" s="272"/>
    </row>
    <row r="42" spans="1:20" s="197" customFormat="1" ht="15">
      <c r="A42" s="202" t="s">
        <v>121</v>
      </c>
      <c r="B42" s="203">
        <v>5</v>
      </c>
      <c r="C42" s="203">
        <v>5</v>
      </c>
      <c r="D42" s="203">
        <v>5</v>
      </c>
      <c r="E42" s="203">
        <v>5</v>
      </c>
      <c r="F42" s="203">
        <v>5</v>
      </c>
      <c r="G42" s="203">
        <v>5</v>
      </c>
      <c r="H42" s="203">
        <v>5</v>
      </c>
      <c r="I42" s="203">
        <v>5</v>
      </c>
      <c r="J42" s="203">
        <v>5</v>
      </c>
      <c r="K42" s="203">
        <v>5</v>
      </c>
      <c r="L42" s="204">
        <v>5</v>
      </c>
      <c r="Q42" s="198"/>
      <c r="R42" s="198"/>
      <c r="S42" s="198"/>
      <c r="T42" s="198"/>
    </row>
    <row r="43" spans="1:21" ht="12.75">
      <c r="A43" s="205" t="s">
        <v>122</v>
      </c>
      <c r="B43" s="112">
        <v>0.7426965801964613</v>
      </c>
      <c r="C43" s="112">
        <v>1.0356409008232308</v>
      </c>
      <c r="D43" s="112">
        <v>1.2744215494464426</v>
      </c>
      <c r="E43" s="112">
        <v>1.4646174076925025</v>
      </c>
      <c r="F43" s="112">
        <v>1.7592836173629087</v>
      </c>
      <c r="G43" s="112">
        <v>2.0712818016464616</v>
      </c>
      <c r="H43" s="112">
        <v>2.355127692370049</v>
      </c>
      <c r="I43" s="112">
        <v>2.5367917637732345</v>
      </c>
      <c r="J43" s="112">
        <v>2.7623254529939096</v>
      </c>
      <c r="K43" s="112">
        <v>2.929234815385005</v>
      </c>
      <c r="L43" s="206">
        <v>3.9143546730645378</v>
      </c>
      <c r="R43" s="2"/>
      <c r="S43" s="2"/>
      <c r="T43" s="2"/>
      <c r="U43" s="2"/>
    </row>
    <row r="44" spans="1:21" s="200" customFormat="1" ht="12.75">
      <c r="A44" s="207" t="s">
        <v>123</v>
      </c>
      <c r="B44" s="273">
        <v>0.0039</v>
      </c>
      <c r="C44" s="274">
        <v>0.144</v>
      </c>
      <c r="D44" s="274">
        <v>0.51</v>
      </c>
      <c r="E44" s="274">
        <v>0.665</v>
      </c>
      <c r="F44" s="274">
        <v>0.724</v>
      </c>
      <c r="G44" s="274">
        <v>0.683</v>
      </c>
      <c r="H44" s="274">
        <v>0.8</v>
      </c>
      <c r="I44" s="274">
        <v>0.782</v>
      </c>
      <c r="J44" s="274">
        <v>0.794</v>
      </c>
      <c r="K44" s="274">
        <v>0.744</v>
      </c>
      <c r="L44" s="275">
        <v>0.708</v>
      </c>
      <c r="R44" s="201"/>
      <c r="S44" s="201"/>
      <c r="T44" s="201"/>
      <c r="U44" s="201"/>
    </row>
    <row r="45" spans="1:21" s="196" customFormat="1" ht="13.5" thickBot="1">
      <c r="A45" s="208" t="s">
        <v>124</v>
      </c>
      <c r="B45" s="27">
        <f>B42*10^-(0.1*B43)*B44</f>
        <v>0.01643482005475709</v>
      </c>
      <c r="C45" s="27">
        <f>C42*10^-(0.1*C43)*C44</f>
        <v>0.5672420349339864</v>
      </c>
      <c r="D45" s="113">
        <f>D42*10^-(0.1*D43)*D44</f>
        <v>1.9015074245915857</v>
      </c>
      <c r="E45" s="113">
        <f aca="true" t="shared" si="5" ref="E45:L45">E42*10^-(0.1*E43)*E44</f>
        <v>2.3731757880636715</v>
      </c>
      <c r="F45" s="113">
        <f t="shared" si="5"/>
        <v>2.4142387081058243</v>
      </c>
      <c r="G45" s="113">
        <f t="shared" si="5"/>
        <v>2.119642056249056</v>
      </c>
      <c r="H45" s="113">
        <f t="shared" si="5"/>
        <v>2.32566534842342</v>
      </c>
      <c r="I45" s="113">
        <f t="shared" si="5"/>
        <v>2.180206253598112</v>
      </c>
      <c r="J45" s="113">
        <f t="shared" si="5"/>
        <v>2.1016382374965614</v>
      </c>
      <c r="K45" s="113">
        <f t="shared" si="5"/>
        <v>1.8950446993554915</v>
      </c>
      <c r="L45" s="113">
        <f t="shared" si="5"/>
        <v>1.4373674133679022</v>
      </c>
      <c r="R45" s="199"/>
      <c r="S45" s="199"/>
      <c r="T45" s="199"/>
      <c r="U45" s="199"/>
    </row>
    <row r="46" spans="18:21" ht="12.75">
      <c r="R46" s="2"/>
      <c r="S46" s="2"/>
      <c r="T46" s="2"/>
      <c r="U46" s="2"/>
    </row>
    <row r="47" spans="18:21" ht="12.75">
      <c r="R47" s="2"/>
      <c r="S47" s="2"/>
      <c r="T47" s="2"/>
      <c r="U47" s="2"/>
    </row>
    <row r="48" spans="18:21" ht="12.75">
      <c r="R48" s="2"/>
      <c r="S48" s="2"/>
      <c r="T48" s="2"/>
      <c r="U48" s="2"/>
    </row>
    <row r="49" spans="18:21" ht="12.75">
      <c r="R49" s="2"/>
      <c r="S49" s="2"/>
      <c r="T49" s="2"/>
      <c r="U49" s="2"/>
    </row>
    <row r="50" spans="18:21" ht="12.75">
      <c r="R50" s="2"/>
      <c r="S50" s="2"/>
      <c r="T50" s="2"/>
      <c r="U50" s="2"/>
    </row>
    <row r="51" spans="18:21" ht="12.75">
      <c r="R51" s="2"/>
      <c r="S51" s="2"/>
      <c r="T51" s="2"/>
      <c r="U51" s="2"/>
    </row>
    <row r="52" spans="18:21" ht="12.75">
      <c r="R52" s="2"/>
      <c r="S52" s="2"/>
      <c r="T52" s="2"/>
      <c r="U52" s="2"/>
    </row>
  </sheetData>
  <sheetProtection sheet="1" objects="1" scenarios="1"/>
  <mergeCells count="35">
    <mergeCell ref="A35:L35"/>
    <mergeCell ref="A40:L40"/>
    <mergeCell ref="E20:F20"/>
    <mergeCell ref="A23:D23"/>
    <mergeCell ref="A22:D22"/>
    <mergeCell ref="A21:D21"/>
    <mergeCell ref="A11:I11"/>
    <mergeCell ref="A33:D33"/>
    <mergeCell ref="G22:H22"/>
    <mergeCell ref="E21:F21"/>
    <mergeCell ref="F26:H26"/>
    <mergeCell ref="F27:H27"/>
    <mergeCell ref="I26:J26"/>
    <mergeCell ref="I27:J27"/>
    <mergeCell ref="A25:J25"/>
    <mergeCell ref="S32:U32"/>
    <mergeCell ref="A5:B5"/>
    <mergeCell ref="A3:F3"/>
    <mergeCell ref="G21:H21"/>
    <mergeCell ref="F12:I12"/>
    <mergeCell ref="F13:I13"/>
    <mergeCell ref="G6:H6"/>
    <mergeCell ref="G5:H5"/>
    <mergeCell ref="G4:H4"/>
    <mergeCell ref="G7:J7"/>
    <mergeCell ref="J4:K4"/>
    <mergeCell ref="J5:K5"/>
    <mergeCell ref="S33:U33"/>
    <mergeCell ref="S34:U34"/>
    <mergeCell ref="M26:R26"/>
    <mergeCell ref="M27:O27"/>
    <mergeCell ref="P27:R27"/>
    <mergeCell ref="M12:R12"/>
    <mergeCell ref="M13:O13"/>
    <mergeCell ref="P13:R1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14.7109375" style="2" bestFit="1" customWidth="1"/>
    <col min="2" max="2" width="9.28125" style="2" bestFit="1" customWidth="1"/>
    <col min="3" max="3" width="12.57421875" style="2" bestFit="1" customWidth="1"/>
    <col min="4" max="4" width="7.421875" style="2" bestFit="1" customWidth="1"/>
    <col min="5" max="6" width="7.00390625" style="2" bestFit="1" customWidth="1"/>
    <col min="7" max="7" width="49.7109375" style="2" bestFit="1" customWidth="1"/>
    <col min="8" max="8" width="10.8515625" style="2" hidden="1" customWidth="1"/>
    <col min="9" max="9" width="8.57421875" style="36" hidden="1" customWidth="1"/>
    <col min="10" max="10" width="8.8515625" style="2" hidden="1" customWidth="1"/>
    <col min="11" max="11" width="12.7109375" style="2" hidden="1" customWidth="1"/>
    <col min="12" max="16384" width="8.8515625" style="2" hidden="1" customWidth="1"/>
  </cols>
  <sheetData>
    <row r="1" spans="1:6" ht="18" thickBot="1">
      <c r="A1" s="268" t="s">
        <v>48</v>
      </c>
      <c r="B1" s="268"/>
      <c r="C1" s="268"/>
      <c r="D1" s="268"/>
      <c r="E1" s="268"/>
      <c r="F1" s="268"/>
    </row>
    <row r="2" spans="1:7" ht="15.75" thickBot="1">
      <c r="A2" s="32" t="s">
        <v>5</v>
      </c>
      <c r="B2" s="33" t="s">
        <v>6</v>
      </c>
      <c r="C2" s="34" t="s">
        <v>7</v>
      </c>
      <c r="D2" s="34" t="s">
        <v>55</v>
      </c>
      <c r="E2" s="34" t="s">
        <v>56</v>
      </c>
      <c r="F2" s="35" t="s">
        <v>0</v>
      </c>
      <c r="G2" s="1" t="s">
        <v>46</v>
      </c>
    </row>
    <row r="3" spans="1:7" ht="12.75">
      <c r="A3" s="37">
        <v>1</v>
      </c>
      <c r="B3" s="185">
        <v>0</v>
      </c>
      <c r="C3" s="186">
        <v>2</v>
      </c>
      <c r="D3" s="38">
        <f aca="true" t="shared" si="0" ref="D3:E9">B3^2</f>
        <v>0</v>
      </c>
      <c r="E3" s="38">
        <f t="shared" si="0"/>
        <v>4</v>
      </c>
      <c r="F3" s="39">
        <f aca="true" t="shared" si="1" ref="F3:F9">B3*C3</f>
        <v>0</v>
      </c>
      <c r="G3" s="2" t="s">
        <v>11</v>
      </c>
    </row>
    <row r="4" spans="1:7" ht="12.75">
      <c r="A4" s="40">
        <v>2</v>
      </c>
      <c r="B4" s="134">
        <v>1</v>
      </c>
      <c r="C4" s="135">
        <v>27</v>
      </c>
      <c r="D4" s="41">
        <f t="shared" si="0"/>
        <v>1</v>
      </c>
      <c r="E4" s="41">
        <f t="shared" si="0"/>
        <v>729</v>
      </c>
      <c r="F4" s="42">
        <f t="shared" si="1"/>
        <v>27</v>
      </c>
      <c r="G4" s="2" t="s">
        <v>45</v>
      </c>
    </row>
    <row r="5" spans="1:7" ht="12.75">
      <c r="A5" s="40">
        <v>3</v>
      </c>
      <c r="B5" s="134">
        <v>2.2</v>
      </c>
      <c r="C5" s="135">
        <v>72</v>
      </c>
      <c r="D5" s="41">
        <f t="shared" si="0"/>
        <v>4.840000000000001</v>
      </c>
      <c r="E5" s="41">
        <f t="shared" si="0"/>
        <v>5184</v>
      </c>
      <c r="F5" s="42">
        <f t="shared" si="1"/>
        <v>158.4</v>
      </c>
      <c r="G5" s="2" t="s">
        <v>79</v>
      </c>
    </row>
    <row r="6" spans="1:7" ht="12.75">
      <c r="A6" s="40">
        <v>4</v>
      </c>
      <c r="B6" s="134">
        <v>2.9</v>
      </c>
      <c r="C6" s="135">
        <v>100</v>
      </c>
      <c r="D6" s="41">
        <f t="shared" si="0"/>
        <v>8.41</v>
      </c>
      <c r="E6" s="41">
        <f t="shared" si="0"/>
        <v>10000</v>
      </c>
      <c r="F6" s="42">
        <f t="shared" si="1"/>
        <v>290</v>
      </c>
      <c r="G6" s="2" t="s">
        <v>20</v>
      </c>
    </row>
    <row r="7" spans="1:7" ht="12.75">
      <c r="A7" s="40">
        <v>5</v>
      </c>
      <c r="B7" s="134">
        <v>4.2</v>
      </c>
      <c r="C7" s="135">
        <v>140</v>
      </c>
      <c r="D7" s="41">
        <f t="shared" si="0"/>
        <v>17.64</v>
      </c>
      <c r="E7" s="41">
        <f t="shared" si="0"/>
        <v>19600</v>
      </c>
      <c r="F7" s="42">
        <f t="shared" si="1"/>
        <v>588</v>
      </c>
      <c r="G7" s="2" t="s">
        <v>47</v>
      </c>
    </row>
    <row r="8" spans="1:7" ht="12.75">
      <c r="A8" s="40">
        <v>6</v>
      </c>
      <c r="B8" s="134">
        <v>4.9</v>
      </c>
      <c r="C8" s="135">
        <v>180</v>
      </c>
      <c r="D8" s="41">
        <f t="shared" si="0"/>
        <v>24.010000000000005</v>
      </c>
      <c r="E8" s="41">
        <f t="shared" si="0"/>
        <v>32400</v>
      </c>
      <c r="F8" s="42">
        <f t="shared" si="1"/>
        <v>882.0000000000001</v>
      </c>
      <c r="G8" s="2" t="s">
        <v>86</v>
      </c>
    </row>
    <row r="9" spans="1:6" ht="13.5" thickBot="1">
      <c r="A9" s="43">
        <v>7</v>
      </c>
      <c r="B9" s="141">
        <v>5.6</v>
      </c>
      <c r="C9" s="142">
        <v>210</v>
      </c>
      <c r="D9" s="44">
        <f t="shared" si="0"/>
        <v>31.359999999999996</v>
      </c>
      <c r="E9" s="44">
        <f t="shared" si="0"/>
        <v>44100</v>
      </c>
      <c r="F9" s="45">
        <f t="shared" si="1"/>
        <v>1176</v>
      </c>
    </row>
    <row r="10" spans="1:6" ht="12.75">
      <c r="A10" s="37" t="s">
        <v>1</v>
      </c>
      <c r="B10" s="46">
        <f>SUM(B3:B9)</f>
        <v>20.8</v>
      </c>
      <c r="C10" s="47">
        <f>SUM(C3:C9)</f>
        <v>731</v>
      </c>
      <c r="D10" s="48">
        <f>SUM(D3:D9)</f>
        <v>87.26</v>
      </c>
      <c r="E10" s="48">
        <f>SUM(E3:E9)</f>
        <v>112017</v>
      </c>
      <c r="F10" s="49">
        <f>SUM(F3:F9)</f>
        <v>3121.4</v>
      </c>
    </row>
    <row r="11" spans="1:6" ht="13.5" thickBot="1">
      <c r="A11" s="43" t="s">
        <v>2</v>
      </c>
      <c r="B11" s="50">
        <f>COUNT(B3:B9)</f>
        <v>7</v>
      </c>
      <c r="C11" s="44">
        <f>COUNT(C3:C9)</f>
        <v>7</v>
      </c>
      <c r="D11" s="44">
        <f>COUNT(D3:D9)</f>
        <v>7</v>
      </c>
      <c r="E11" s="44">
        <f>COUNT(E3:E9)</f>
        <v>7</v>
      </c>
      <c r="F11" s="45">
        <f>COUNT(F3:F9)</f>
        <v>7</v>
      </c>
    </row>
    <row r="12" ht="13.5" thickBot="1"/>
    <row r="13" spans="1:6" ht="13.5" thickBot="1">
      <c r="A13" s="267" t="s">
        <v>19</v>
      </c>
      <c r="B13" s="267"/>
      <c r="C13" s="267" t="s">
        <v>18</v>
      </c>
      <c r="D13" s="267"/>
      <c r="E13" s="267"/>
      <c r="F13" s="267"/>
    </row>
    <row r="14" spans="1:6" ht="12.75">
      <c r="A14" s="6" t="s">
        <v>8</v>
      </c>
      <c r="B14" s="18">
        <f>F10-B10*C10/F11</f>
        <v>949.2857142857142</v>
      </c>
      <c r="C14" s="51" t="s">
        <v>21</v>
      </c>
      <c r="D14" s="6"/>
      <c r="E14" s="52" t="s">
        <v>16</v>
      </c>
      <c r="F14" s="53" t="s">
        <v>14</v>
      </c>
    </row>
    <row r="15" spans="1:7" ht="13.5" thickBot="1">
      <c r="A15" s="11" t="s">
        <v>9</v>
      </c>
      <c r="B15" s="25">
        <f>D10-B10^2/D11</f>
        <v>25.45428571428571</v>
      </c>
      <c r="C15" s="54"/>
      <c r="D15" s="55" t="s">
        <v>15</v>
      </c>
      <c r="E15" s="56"/>
      <c r="F15" s="57">
        <f>IF(COUNT(E15)=1,E15*B17+B18,"")</f>
      </c>
      <c r="G15" s="58" t="s">
        <v>23</v>
      </c>
    </row>
    <row r="16" spans="1:6" ht="12.75">
      <c r="A16" s="11" t="s">
        <v>10</v>
      </c>
      <c r="B16" s="25">
        <f>E10-C10^2/E11</f>
        <v>35679.71428571429</v>
      </c>
      <c r="C16" s="59" t="s">
        <v>22</v>
      </c>
      <c r="D16" s="6"/>
      <c r="E16" s="52" t="s">
        <v>14</v>
      </c>
      <c r="F16" s="53" t="s">
        <v>16</v>
      </c>
    </row>
    <row r="17" spans="1:7" ht="13.5" thickBot="1">
      <c r="A17" s="11" t="s">
        <v>12</v>
      </c>
      <c r="B17" s="25">
        <f>B14/B15</f>
        <v>37.293747895386694</v>
      </c>
      <c r="C17" s="54"/>
      <c r="D17" s="22" t="s">
        <v>15</v>
      </c>
      <c r="E17" s="23"/>
      <c r="F17" s="28">
        <f>IF(COUNT(E17)=1,(E17-B18)/B17,"")</f>
      </c>
      <c r="G17" s="58" t="s">
        <v>24</v>
      </c>
    </row>
    <row r="18" spans="1:2" ht="12.75">
      <c r="A18" s="11" t="s">
        <v>13</v>
      </c>
      <c r="B18" s="25">
        <f>(C10-B17*B10)/B11</f>
        <v>-6.38713660343475</v>
      </c>
    </row>
    <row r="19" spans="1:2" ht="12.75">
      <c r="A19" s="11" t="s">
        <v>53</v>
      </c>
      <c r="B19" s="60">
        <f>B14/SQRT(B15*B16)</f>
        <v>0.9961065686210258</v>
      </c>
    </row>
    <row r="20" spans="1:2" ht="15.75" thickBot="1">
      <c r="A20" s="22" t="s">
        <v>57</v>
      </c>
      <c r="B20" s="61">
        <f>B14^2/(B15*B16)</f>
        <v>0.9922282960499544</v>
      </c>
    </row>
    <row r="25" spans="7:9" ht="12.75">
      <c r="G25" s="36"/>
      <c r="I25" s="2"/>
    </row>
    <row r="26" spans="7:9" ht="12.75">
      <c r="G26" s="36"/>
      <c r="I26" s="2"/>
    </row>
    <row r="27" spans="7:9" ht="12.75">
      <c r="G27" s="36"/>
      <c r="I27" s="2"/>
    </row>
    <row r="28" spans="7:9" ht="12.75">
      <c r="G28" s="36"/>
      <c r="I28" s="2"/>
    </row>
  </sheetData>
  <sheetProtection sheet="1" objects="1" scenarios="1"/>
  <mergeCells count="3">
    <mergeCell ref="C13:F13"/>
    <mergeCell ref="A13:B13"/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http://www.qsl.net/kp4md/mfj202.htm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Noise Bridge Utilities</dc:title>
  <dc:subject/>
  <dc:creator>Dr. Carol F. Milazzo, KP4MD</dc:creator>
  <cp:keywords/>
  <dc:description>Noise bridge resistance calibration and impedance calculator utilities</dc:description>
  <cp:lastModifiedBy> Richard A. Fox, FNP</cp:lastModifiedBy>
  <dcterms:created xsi:type="dcterms:W3CDTF">2011-03-26T05:39:37Z</dcterms:created>
  <dcterms:modified xsi:type="dcterms:W3CDTF">2011-06-17T02:51:16Z</dcterms:modified>
  <cp:category/>
  <cp:version/>
  <cp:contentType/>
  <cp:contentStatus/>
</cp:coreProperties>
</file>